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Konsern" sheetId="1" r:id="rId1"/>
    <sheet name="Internt roknsk." sheetId="2" r:id="rId2"/>
  </sheets>
  <definedNames>
    <definedName name="_xlnm.Print_Area" localSheetId="1">'Internt roknsk.'!$A$1:$H$337</definedName>
    <definedName name="_xlnm.Print_Area" localSheetId="0">'Konsern'!$A$1:$S$909</definedName>
    <definedName name="_xlnm.Print_Area">'Internt roknsk.'!$A$1:$H$210</definedName>
  </definedNames>
  <calcPr fullCalcOnLoad="1"/>
</workbook>
</file>

<file path=xl/sharedStrings.xml><?xml version="1.0" encoding="utf-8"?>
<sst xmlns="http://schemas.openxmlformats.org/spreadsheetml/2006/main" count="1323" uniqueCount="860">
  <si>
    <t>Notur til konsernroknskapin / Noter til koncernregnskabet</t>
  </si>
  <si>
    <t>Roknskaparfrágreiðing</t>
  </si>
  <si>
    <t>Árs- og konsernroknskapurin er greiddur sambært viðtøkum grunsins og roknskaparásetingunum í Lóg um bankar og spari-</t>
  </si>
  <si>
    <t>skattur verður ikki latin av vinningsbýti til móðurfeløg.</t>
  </si>
  <si>
    <t>Uttanhýsis ársroknskapur og konsernroknskapur grunsins við tilhoyrandi notum síggjast á síðunum niðanfyri. /</t>
  </si>
  <si>
    <t>Regnskabsberetning</t>
  </si>
  <si>
    <t>Års- og koncernregnskabet er aflagt i henhold til fondens vedtægter og Bank- og sparekasselovens regnskabsbestemmelser.</t>
  </si>
  <si>
    <t>af forskelligartet aktivitet.</t>
  </si>
  <si>
    <t>svares udbytteskat af udbytte til moderselskaber.</t>
  </si>
  <si>
    <t>Úrslit áðrenn skatt / Resultat før skat ..................................................................................................................</t>
  </si>
  <si>
    <t>Roknaður skattur av ársúrsliti / Beregnet skat af årets resultat ............................................................</t>
  </si>
  <si>
    <t>Skattur farin ár / Skat vedrørende tidligere år ..................................................................................................</t>
  </si>
  <si>
    <t>Skattur av vinningsbýti / Udbytteskat ................................................................................................................</t>
  </si>
  <si>
    <t>Ársúrslit / Årets resultat .......................................................................................................................................</t>
  </si>
  <si>
    <t>Býti av ársúrsliti / Resultatdisponering:</t>
  </si>
  <si>
    <t>Avsett til burturlutan av vinningsbýti til Føroya Landsstýri /</t>
  </si>
  <si>
    <t>Hensat til udlodning af dividende til Færøernes Landsstyre ........................................................................</t>
  </si>
  <si>
    <t>At flyta fram / At overføre til næste år .................................................................................................................</t>
  </si>
  <si>
    <t>FÍGGJARSTØÐA PR. 31. DESEMBER / BALANCE PR. 31. DECEMBER</t>
  </si>
  <si>
    <t>OGN / AKTIVER</t>
  </si>
  <si>
    <t>Maskinur og búnyttur / Maskiner og inventar .................................................................................................</t>
  </si>
  <si>
    <t>Partabrøv í P/F Føroya Banka / Aktier i P/F Føroya Banki ........................................................................</t>
  </si>
  <si>
    <t xml:space="preserve">Partabrøv í P/F Virðisbrævamarknaði Føroya / </t>
  </si>
  <si>
    <t>Aktier i P/F Virðisbrævamarknaður Føroya ......................................................................................................................</t>
  </si>
  <si>
    <t>STØÐISOGN TILSAMANS / ANLÆGSAKTIVER I ALT ................................................................</t>
  </si>
  <si>
    <t>Virðisbrøv / Obligationer .......................................................................................................................................</t>
  </si>
  <si>
    <t>Vinningsbýti tilgóðar / Tilgodehavende udbytte ............................................................................................</t>
  </si>
  <si>
    <t>Rentur tilgóðar / Tilgodehavende renter ..............................................................................................................</t>
  </si>
  <si>
    <t>Tøkur peningur / Likvide beholdninger ..............................................................................................................</t>
  </si>
  <si>
    <t>UMFERÐARFÆ TILSAMANS / OMSÆTNINGSAKTIVER I ALT ...........................................</t>
  </si>
  <si>
    <t>OGNIR TILSAMANS / AKTIVER I ALT ...............................................................................................</t>
  </si>
  <si>
    <t>EGINPENINGUR OG SKULD / PASSIVER</t>
  </si>
  <si>
    <t>Grundfæ / Grundkapital ............................................................................................................................................</t>
  </si>
  <si>
    <t>Fluttur vinningur / Overførte resultater ................................................................................................................</t>
  </si>
  <si>
    <t>EGINPENINGUR TILSAMANS / EGENKAPITAL I ALT ...........................................................</t>
  </si>
  <si>
    <t>Onnur skuld / Anden gæld .......................................................................................................................................</t>
  </si>
  <si>
    <t>Avsett til burturlutan til Føroya Landsstýri /</t>
  </si>
  <si>
    <t>Innanhýsis roknskapur Grunsins 2004</t>
  </si>
  <si>
    <t>Fondens interne regnskab 2004</t>
  </si>
  <si>
    <t>Gæld til kreditinstitutter og centralbanker ............................................................................</t>
  </si>
  <si>
    <t>Innlán / Indlån .................................................................................................................................</t>
  </si>
  <si>
    <t>Onnur skuld / Andre passiver ...................................................................................................</t>
  </si>
  <si>
    <t>Tíðaravmarkingar / Periodeafgrænsningsposter ................................................................</t>
  </si>
  <si>
    <t>Avsetingar til skyldur / Hensættelser til forpligtelser .......................................................</t>
  </si>
  <si>
    <t>Eginpeningur / Egenkapital</t>
  </si>
  <si>
    <t>Grundfæ / Grundkapital ..............................................................................................................</t>
  </si>
  <si>
    <t>Fluttur vinningur / Overførte resultater .................................................................................</t>
  </si>
  <si>
    <t>Eginpeningur tilsamans / Egenkapital i alt ...........................................................................</t>
  </si>
  <si>
    <t>Heraf minoritetsinteressers andel ..........................................................................................</t>
  </si>
  <si>
    <t>Skuld tilsamans / Passiver i alt ...................................................................................................</t>
  </si>
  <si>
    <t>Tøl, sum ikki eru tikin við í javnan / Ikke-balanceførte poster</t>
  </si>
  <si>
    <t>Vit hava grannskoðað innanhýsis ársroknskapin hjá Fíggingargrunnunum frá 1992, greiddur av nevndini, fyri árið 2004.</t>
  </si>
  <si>
    <t>SPEKT</t>
  </si>
  <si>
    <t>P/F Føroya Banki hevur avsett kr. 50.000.000 til vinningsbýti. /</t>
  </si>
  <si>
    <t>P/F Føroya Banki har afsat kr. 50.000.000 i udbytte.</t>
  </si>
  <si>
    <t>Útreiðslur til starvsfólk og fyrisiting / Udgifter til personale og administration</t>
  </si>
  <si>
    <t>Stjórn / Direktion ...........................................................................................................................................................................................</t>
  </si>
  <si>
    <t>Nevnd / Bestyrelse .........................................................................................................................................................................................</t>
  </si>
  <si>
    <t>Tilsamans / I alt ................................................................................................................................................................................................</t>
  </si>
  <si>
    <t>Starvsfólkaútreiðslur / Personaleudgifter</t>
  </si>
  <si>
    <t>Lønir / Lønninger ............................................................................................................................................................................................</t>
  </si>
  <si>
    <t>Eftirlønargjald / Pensioner ..........................................................................................................................................................................</t>
  </si>
  <si>
    <t>Útreiðslur til sosiala trygd / Udgifter til social sikring ........................................................................................................................</t>
  </si>
  <si>
    <t>Tilsamans / I alt ..............................................................................................................................................................................................</t>
  </si>
  <si>
    <t>Aðrar fyrisitingarútreiðslur / Øvrige administrationsudgifter ........................................................................................................</t>
  </si>
  <si>
    <t>Útreiðslur til starvsfólk og fyrisiting tilsamans / Udgifter til personale og administration i alt ..........................................</t>
  </si>
  <si>
    <t>Úrslit av kapitalpørtum í tilknýttum og leysknýttum feløgum /</t>
  </si>
  <si>
    <t>Resultat af kapitalandele i associerede og tilknyttede virksomheder</t>
  </si>
  <si>
    <t>Í leysknýttum feløgum / I associerede virksomheder ..................................................................................................................</t>
  </si>
  <si>
    <t>Í tilknýttum feløgum / I tilknyttede virksomheder ............................................................................................................................</t>
  </si>
  <si>
    <t>Tilsamans / I alt .................................................................................................................................................................................................</t>
  </si>
  <si>
    <t>Skattur / Skat</t>
  </si>
  <si>
    <t>Roknaður skattur av ársvinningi / Beregnet skat af årets indkomst .........................................................................................</t>
  </si>
  <si>
    <t>Javnan av skattaognum / Regulering af skatteaktiver ................................................................................................................................................................</t>
  </si>
  <si>
    <t>Fluttur vinningur / Overførte resultater ..................................................................................................................</t>
  </si>
  <si>
    <t>Eginpeningur tilsamans / Egenkapital i alt .............................................................................................................</t>
  </si>
  <si>
    <t>Partur grunsins / Fondens andel .............................................................................................................................................................</t>
  </si>
  <si>
    <t>Minnilutapartaeigarar / Minoritetsinteresser:</t>
  </si>
  <si>
    <t>Partur av ársúrsliti / Andel af årets resultat ......................................................................................................................................</t>
  </si>
  <si>
    <t>Partur av vinningsbýti / Andel af udbytte ............................................................................................................................................</t>
  </si>
  <si>
    <t>Tilsamans / I alt .............................................................................................................................................................................................</t>
  </si>
  <si>
    <t>Partur hjá minnilutapartaeigarum av eginpeningi /</t>
  </si>
  <si>
    <t>Minoritetsinteressers andel af egenkapital:</t>
  </si>
  <si>
    <t>Partur av vinningsbýti / Andel af udbytte ...........................................................................................................................................</t>
  </si>
  <si>
    <t xml:space="preserve">Sambært viðtøkum fíggingargrunsins kann nevndin gera av at útluta tiltakspening grunsins til Føroya </t>
  </si>
  <si>
    <t xml:space="preserve">Landsstýri / Ifølge finansieringsfondens vedtægter kan fondens reserver uddeles til Færøernes </t>
  </si>
  <si>
    <t>Landsstyre efter bestyrelsens beslutning.</t>
  </si>
  <si>
    <t>Tøl, sum ikki eru tikin við í javnan / Ikke - balanceførte poster</t>
  </si>
  <si>
    <t>Ábyrgdir / Garantier m.v.</t>
  </si>
  <si>
    <t>Fíggjarábyrgdir / Finansgarantier ..........................................................................................................................................................</t>
  </si>
  <si>
    <t>Aðrar ábyrgdir / Øvrige garantier ..........................................................................................................................................................</t>
  </si>
  <si>
    <t>Ábyrgdir tilsamans / Garantier m.v. i alt ...............................................................................................................................................</t>
  </si>
  <si>
    <t>Aðrar skyldur / Andre forpligtelser</t>
  </si>
  <si>
    <t>Kredittilsøgnir, ið ikki kunnu afturkallast / Uigenkaldelige kredittilsagn ....................................................................................</t>
  </si>
  <si>
    <t>Avskrivingar við árs enda / Afskrivninger ultimo på aktiver i behold ....................................................................</t>
  </si>
  <si>
    <t>Vit hava fyrireikað og framt grannskoðanina í samsvari við vanliga góðkendar grannskoðanarreglur við atliti til at fáa</t>
  </si>
  <si>
    <t>eina grundaða sannføring um, at roknskapurin ikki inniheldur týðandi feilir ella manglar. Út frá eini meting um týdning</t>
  </si>
  <si>
    <t>Grannskoðanin hevur ikki givið orsøk til fyrivarni.</t>
  </si>
  <si>
    <t>Niðurstøða</t>
  </si>
  <si>
    <t>Okkara fatan er, at árs- og konsernroknskapurin er greiddur úr hondum í samsvari við krøvini í lóggávuni um roknskapar-</t>
  </si>
  <si>
    <t>framløgu, og at roknskapurin gevur eina rættvísandi mynd av ogn, eginpeningi og skuld grunsins, tí fíggjarligu støðuni</t>
  </si>
  <si>
    <t>og úrslitinum. /</t>
  </si>
  <si>
    <t>Den udførte revision</t>
  </si>
  <si>
    <t>Vi har i overensstemmelse med almindeligt anerkendte revisionsprincipper tilrettelagt og udført revisionen med henblik på at</t>
  </si>
  <si>
    <t>opnå en begrundet overbevisning om, at års- og koncernregnskabet er uden væsentlige fejl eller mangler. Under revisionen</t>
  </si>
  <si>
    <t>har vi ud fra en vurdering af væsentlighed og risiko efterprøvet grundlaget og dokumentationen for de i års- og koncernregn-</t>
  </si>
  <si>
    <t>skabet anførte beløb og øvrige oplysninger. Vi har herunder taget stilling til den af ledelsen valgte regnskabspraksis og de ud-</t>
  </si>
  <si>
    <t>øvede regnskabsmæssige skøn samt vurderet, om års- og koncernregnskabets informationer som helhed er fyldestgørende.</t>
  </si>
  <si>
    <t>Revisionen har ikke givet anledning til forbehold.</t>
  </si>
  <si>
    <t>Konklusion</t>
  </si>
  <si>
    <t>Det er vor opfattelse, at års- og koncernregnskabet er aflagt i overensstemmelse med lovgivningens krav til regnskabs-</t>
  </si>
  <si>
    <t>aflæggelsen og at regnskaberne giver et retvisende billede af fondens aktiver og passiver, økonomiske stilling samt</t>
  </si>
  <si>
    <t>Statsaut. revisorar Sp/f</t>
  </si>
  <si>
    <t>Súni Schwartz Jacobsen           Finnbjørn Zachariasen</t>
  </si>
  <si>
    <t>DKK 1.000</t>
  </si>
  <si>
    <t>Rentuinntøka o.a. / Renteindtægter m.v. ................................................................................</t>
  </si>
  <si>
    <t>Rentuútreiðslur o.a. / Renteudgifter m.v. ...............................................................................</t>
  </si>
  <si>
    <t>Rentuinntøkur netto / Netto renteindtægter .......................................................................</t>
  </si>
  <si>
    <t>Vinningur av partabrøvum / Udbytte af aktier og andre kapitalandele ......................</t>
  </si>
  <si>
    <t>Kostnaður og provisiónsinntøkur / Gebyrer og provisionsindtægter m.v. ...............</t>
  </si>
  <si>
    <t>Útreiðslur til kostnað og provisiónir / Afgivne gebyrer og provisionsudg. ...............</t>
  </si>
  <si>
    <t>Netto rentu- og kostnaðarinntøkur / Netto rente- og gebyrindtægter .........................</t>
  </si>
  <si>
    <t>Virðisjavnan av virðisbrøvum og gjaldoyra /</t>
  </si>
  <si>
    <t>Kursreguleringer af værdipapirer og valuta m.v. ................................................................</t>
  </si>
  <si>
    <t>Aðrar vanligar inntøkur / Andre ordinære indtægter ....................................................</t>
  </si>
  <si>
    <t>Úrslit av fíggjarpostum / Resultat af finansielle poster ....................................................</t>
  </si>
  <si>
    <t xml:space="preserve">Útreiðslur til starvsfólk og umsiting / </t>
  </si>
  <si>
    <t>Forward Rate Agreements, keyp / Forward Rate Agreements, køb ........................…</t>
  </si>
  <si>
    <t>Partabrøvum / Aktier ...................................................................................................................................................................................</t>
  </si>
  <si>
    <t>Tilsamans / I alt ...............................................................................................................................................................................................</t>
  </si>
  <si>
    <t>Virðisjavnan / Kursreguleringer</t>
  </si>
  <si>
    <t>Lánsbrøv / Obligationer ................................................................................................................................................................................</t>
  </si>
  <si>
    <t>Partabrøv / Aktier ...........................................................................................................................................................................................</t>
  </si>
  <si>
    <t>Fastrentaði útlán / Fastforrentede udlån ....................................................................................................................................................</t>
  </si>
  <si>
    <t>Gjaldoyra / Valuta ........................................................................................................................................................................................</t>
  </si>
  <si>
    <t>Fíggjartól tilsamans / Afledte finansielle instrumenter i alt ..............................................................................................................</t>
  </si>
  <si>
    <t>Kursreguleringar tilsamans / Kursreguleringer i alt .........................................................................................................................</t>
  </si>
  <si>
    <t>Aðrir handlar / Andre kontrakter .............................................................................................................................................................</t>
  </si>
  <si>
    <t>Kursregulering af kapitalandele i P/F Føroya Banki .....................................................................................</t>
  </si>
  <si>
    <t>Færøernes Landsstyre 2,5% 2005 ...............................................................................................</t>
  </si>
  <si>
    <t>grunsins.  Munurin er íkomin tí parturin hjá minnilutapartaeigarunum av eginpeninginum,</t>
  </si>
  <si>
    <t>1.574.913.468 kr. móti einum eginpeningi uppá 1.583.901.635 kr. í konsernroknskapi</t>
  </si>
  <si>
    <t>Egenkapitalen pr. 31/12-2004 er i fondens interne årsregnskab opgjort til 1.574.913.468 kr.</t>
  </si>
  <si>
    <t>mod en egenkapital på 1.583.901.635 kr. i fondens koncernregnskab. Forskellen skyldes,</t>
  </si>
  <si>
    <t>Vi har revideret det af bestyrelsen aflagte interne årsregnskab for Finansieringsfonden af 1992 for året 2004.</t>
  </si>
  <si>
    <t>Árs- og konsernroknskapur 2004</t>
  </si>
  <si>
    <t>Års- og koncernregnskab for 2004</t>
  </si>
  <si>
    <t>Árs- og konsernroknskapur 2004 / Års- og koncernregnskab for 2004</t>
  </si>
  <si>
    <t>Árs- og konsernroknskapurin fyri 2004 er við hesum góðtikin av nevnd grunsins / Års- og koncernregnskabet for 2004 er her-</t>
  </si>
  <si>
    <t>Vit hava grannskoðað árs- og konsernroknskapin hjá Fíggingargrunninum frá 1992, greiddur av nevndini, fyri árið 2004.</t>
  </si>
  <si>
    <t>Vi har revideret det af bestyrelsen aflagte års- og koncernregnskab for Finansieringsfonden af 1992 for året 2004.</t>
  </si>
  <si>
    <t>01.01.04</t>
  </si>
  <si>
    <t>31.12.04</t>
  </si>
  <si>
    <t>Kapitalflytingar 2004 / Egenkapitalbevægelser 2004</t>
  </si>
  <si>
    <t>Saldo 1/1 - 2004 ...............................................................................................................................................................................................</t>
  </si>
  <si>
    <t>Saldo 31/12 - 2004 .......................................................................................................................................................................................</t>
  </si>
  <si>
    <t>Tikið nevnd og stjórn bankans burturúr og lagt afturat starvsfólkaútreiðslum</t>
  </si>
  <si>
    <t>Skal hetta upplýsast?</t>
  </si>
  <si>
    <t>do.</t>
  </si>
  <si>
    <t>Tíðarinnskot / Tidsindskud ......................................................................................................................................................................</t>
  </si>
  <si>
    <t>Serinnlán / Særlige indlånsformer ........................................................................................................................................................</t>
  </si>
  <si>
    <t>Tórshavn, 23. juni 2005</t>
  </si>
  <si>
    <t>Terminir/futures, søla / Terminer/futures, salg ....................................................................</t>
  </si>
  <si>
    <t>Swaps / Swaps ............................................................................................................................</t>
  </si>
  <si>
    <t>Netto marknaðarvirði tilsamans / Netto markedsværdi i alt ............................................</t>
  </si>
  <si>
    <t>Terminir/futures, keyp / Terminer/futures, køb .................................................................</t>
  </si>
  <si>
    <t>Terminir/futures, søla / Terminer/futures, salg ..................................................................</t>
  </si>
  <si>
    <t>Terminir/futures, søla / Terminer/futures, salg ...............................................................</t>
  </si>
  <si>
    <t>Swaps / Swaps ..............................................................................................................................</t>
  </si>
  <si>
    <t>Swaps / Swaps ................................................................................................................................</t>
  </si>
  <si>
    <t>Tilsamans aftaná netting / I alt efter netting .............................................................................</t>
  </si>
  <si>
    <t>Ikki avgreiddir spothandlar / Uafviklede spotforretninger</t>
  </si>
  <si>
    <t>Rentuhandlar, keyp /</t>
  </si>
  <si>
    <t>Renteforr., køb .........................</t>
  </si>
  <si>
    <t>Rentuhandlar, søla /</t>
  </si>
  <si>
    <t>Renteforr., salg ............</t>
  </si>
  <si>
    <t>Tilsamans / I alt</t>
  </si>
  <si>
    <t>Tal av deildum umframt høvuðsskrivstovuna / Antal filialer</t>
  </si>
  <si>
    <t>foruden hovedkontoret</t>
  </si>
  <si>
    <t>Partapeningur / Aktiekapital</t>
  </si>
  <si>
    <t>Fíggingargrunnurin frá 1992 eigur 99,4 % av partapeninginum. Partapeningurin,</t>
  </si>
  <si>
    <t>Mótpartur við váðavekt 0 pst. / Modpart med risikovægt 0 pst. ..................................................................................................................</t>
  </si>
  <si>
    <t>Mótpartur við váðavekt 20 pst. / Modpart med risikovægt 20 pct. .......................................................................................................</t>
  </si>
  <si>
    <t>Mótpartur við váðavekt 100 pst. / Modpart med risikovægt 100 pct. ................................................................................</t>
  </si>
  <si>
    <t>Akkumuleraðar avsetingar / Akkumulerede hensættelser</t>
  </si>
  <si>
    <t>Avsett við árslok til útlán og ábyrgdir / Hensat ultimo på udlån og garantidebitorer ........................................................</t>
  </si>
  <si>
    <t>Avsett við árslok til áogn hjá kredittstovnum og øðrum postum við kredittrisiko /</t>
  </si>
  <si>
    <t>Hensat ultimo på tilgodehavender hos kredittinstitutter og andre poster, der indebærer en kreditrisiko ................</t>
  </si>
  <si>
    <t>Akkumuleraðar avsetingar tilsamans / I alt akkumulerede hensættelser ..............................................................................</t>
  </si>
  <si>
    <t>Akkumuleraðar avsetingar til útlán og ábyrgdir í procent av útlánum og ábyrgdum við árs enda /</t>
  </si>
  <si>
    <t>Akkumulerede hensættelser på udlån og garantidebitorer i procent af udlån og garantidebitorer ultimo året</t>
  </si>
  <si>
    <t>Ikki renturoknað áogn við árs enda  /</t>
  </si>
  <si>
    <t>Tilgodehavender med standset renteberegning ultimo året .....................................................................................................................</t>
  </si>
  <si>
    <t>Sølu - og afturkeypshandlar og keyps- og aftursøluhandlar /</t>
  </si>
  <si>
    <t>Ægte salgs- og tilbagekøbsforretninger samt ægte købs- og tilbagesalgsforretninger</t>
  </si>
  <si>
    <t>Í niðanfyri nevndu ognum eru hesir keyps- og aftursøluhandlar /</t>
  </si>
  <si>
    <t>Af nedenstående aktivposter udgør ægte købs- og tilbagesalgsforretninger følgende:</t>
  </si>
  <si>
    <t>Ogn hjá kredittstovnum og tjóðbankum / Tilgodehavender hos kreditinstitutter og centralbanker ...............................</t>
  </si>
  <si>
    <t>Útlán / Udlån ...................................................................................................................................................................................................</t>
  </si>
  <si>
    <t>Í niðanfyri nevndu skuld eru hesir sølu- og afturkeypshandlar /</t>
  </si>
  <si>
    <t>Af nedenstående passivposter udgør ægte salgs- og tilbagekøbsforretninger følgende:</t>
  </si>
  <si>
    <t>Skuld til kredittstovnum og tjóðbankum / Gæld til kreditinstitutter og centralbanker .......................................................</t>
  </si>
  <si>
    <t>Ognir seldar i samband við sølu- og afturkeypshandlar /</t>
  </si>
  <si>
    <t>Aktiver solgt som led i ægte salgs- og tilbagekøbsforretninger:</t>
  </si>
  <si>
    <t>Marknaðarváðar / Markedsrisici</t>
  </si>
  <si>
    <t>Gjaldoyraváði / Valutarisiko</t>
  </si>
  <si>
    <t>Ogn í fremmandum gjaldoyra / Aktiver i fremmed valuta ...........................................................................................................</t>
  </si>
  <si>
    <t>Skuld í fremmandum gjaldoyra / Passiver i fremmed valuta .......................................................................................................</t>
  </si>
  <si>
    <t>Gjaldoyraábending 1 / Valutakursindikator 1 ...................................................................................................................................</t>
  </si>
  <si>
    <t>Gjaldoyraábending 1 í pst. av kjarnukapitali aftaná frádrátt /</t>
  </si>
  <si>
    <t>Ágóði við uppsøgn hjá kredittstovnum / Tilgodehavender hos kreditinstitutter ..................................................................</t>
  </si>
  <si>
    <t>Lánsbrøv / Obligationer</t>
  </si>
  <si>
    <t>Børsskrásett / Børsnoterede ...................................................................................................................................................................</t>
  </si>
  <si>
    <t>Onnur / Andre ................................................................................................................................................................................................</t>
  </si>
  <si>
    <t>Partabrøv / Aktier</t>
  </si>
  <si>
    <t>Børsskrásett / Børsnoterede ..................................................................................................................................................................</t>
  </si>
  <si>
    <t>Onnur partabrøv / Andre aktier .............................................................................................................................................................</t>
  </si>
  <si>
    <t>Aðrar skyldur tilsamans / Andre forpligtelser i alt ...........................................................................................................................</t>
  </si>
  <si>
    <t>Rentuinntøkur og terminspremiur / Renteindtægter og terminspræmier</t>
  </si>
  <si>
    <t>Áogn hjá kredittstovnum og tjóðbankum / Tilgodehavender hos kreditinstitutter og centralbanker ............................</t>
  </si>
  <si>
    <t>Útlán / Udlån ....................................................................................................................................................................................................</t>
  </si>
  <si>
    <t>Lánsbrøv / Obligationer ..............................................................................................................................................................................</t>
  </si>
  <si>
    <t>Fíggjartól tilsamans / Afledte finansielle instrumenter i alt ..........................................................................................................</t>
  </si>
  <si>
    <t>Av hesum / Heraf:</t>
  </si>
  <si>
    <t>Gjaldoyrasáttmálar / Valutakontrakter ..........................................................................................................................................</t>
  </si>
  <si>
    <t>Rentusáttmálar / Rentekontrakter ...................................................................................................................................................</t>
  </si>
  <si>
    <t>Aðrir handlar / Andre forretninger .......................................................................................................................................................</t>
  </si>
  <si>
    <t>Rentuinntøkur tilsamans / Renteindtægter i alt ..................................................................................................................................</t>
  </si>
  <si>
    <t>Av hesum eru inntøkur av keyps- og aftursøluhandlum bókað sum /</t>
  </si>
  <si>
    <t>Heraf udgør indtægter af ægte købs- og tilbagesalgsforretninger ført under:</t>
  </si>
  <si>
    <t>Rentuútreiðslur / Renteudgifter</t>
  </si>
  <si>
    <t>Kredittstovnar og tjóðbankar / Kredittinstitutter og centralbanker ...........................................................................................</t>
  </si>
  <si>
    <t>Innlán / Indlån ..................................................................................................................................................................................................</t>
  </si>
  <si>
    <t>Rentuútreiðslur tilsamans / Renteudgifter i alt ....................................................................................................................................</t>
  </si>
  <si>
    <t>Av hesum eru rentuútreiðslur av keyps- og aftursøluhandlum bókað sum /</t>
  </si>
  <si>
    <t>Heraf udgør renteudgifter af ægte købs- og tilbagesalgsforretninger ført under:</t>
  </si>
  <si>
    <t>Innlán / Indlån .................................................................................................................................................................................................</t>
  </si>
  <si>
    <t>Vinningsbýti frá / Udbytte af</t>
  </si>
  <si>
    <t>Partur grunsins, í pst. / Fondens ejerandel, i pct. ....................................................................................................................................</t>
  </si>
  <si>
    <t>Værdiregulering af kapitalandele pr. balancedagen .....................................................................................................................................................…</t>
  </si>
  <si>
    <t>Aktiekurs i P/F Føroya Banki til indre værdi .........................................................................................................................................................................</t>
  </si>
  <si>
    <t>Skuld til tjóðbankar / Gæld til centralbanker .......................................................................................................................................</t>
  </si>
  <si>
    <t>Skuld til kredittstovnar / Gæld til kreditinstitutter ............................................................................................................................</t>
  </si>
  <si>
    <t>Innlán / Indlån</t>
  </si>
  <si>
    <t>Kapitalpartar í leysknýttum fyritøkum /</t>
  </si>
  <si>
    <t>Til og við 3 mðr. / Til og med 3 mdr. .......................................................................................................................................................</t>
  </si>
  <si>
    <t>Meira enn 3 mðr. og til og við 1 ár / Over 3 mdr. og til og med 1 år ..................................................................................</t>
  </si>
  <si>
    <t>Meira enn 1 ár og til og við 5 ár / Over 1 år og til og med 5 år ......................................................................................................</t>
  </si>
  <si>
    <t>Meira enn 5 ár / Over 5 år .......................................................................................................................................................................</t>
  </si>
  <si>
    <t>Skuld til kredittstovnar og tjóðbankar / Gæld til kredittinstitutter og centralbanker</t>
  </si>
  <si>
    <t>Uttan uppsøgn / Anfordringsgæld ...........................................................................................................................................................</t>
  </si>
  <si>
    <t>Til og við 3 mðr. / Til og med 3 mdr. ..........................................................................................................................................................</t>
  </si>
  <si>
    <t>Uttan uppsøgn / Anfordringsgæld .........................................................................................................................................................</t>
  </si>
  <si>
    <t>Innlán við uppsøgn / Indlån med opsigelsesvarsel</t>
  </si>
  <si>
    <t>Meira enn 3 mðr. og til og við 1 ár / Over 3 mdr. og til og med 1 år ....................................................................................</t>
  </si>
  <si>
    <t>Meira enn 1 ár og til og við 5 ár / Over 1 år og til og med 5 år ..................................................................................................</t>
  </si>
  <si>
    <t>Fíggjartól / Afledte finansielle instrumenter</t>
  </si>
  <si>
    <t>Gjaldoyrasáttmálar / Valutakontrakter</t>
  </si>
  <si>
    <t>Terminir/futures, keyp / Terminer/futures, køb ..............................................................</t>
  </si>
  <si>
    <t>kassar.  Konsernroknskapurin fevnir um grunnin og P/F Føroya Banka.  Av tí at vinnuøkini ikki kunnu samanberast, skal</t>
  </si>
  <si>
    <t>tryggingarfelagið P/F Trygd skal ikki konsoliderast.</t>
  </si>
  <si>
    <t>P/F Føroya Banki letur grunninum 49,7 mió. kr. í vinningsbýti fyri 2004.  Í 2003 var talan um 19,9 mió. kr.  Vinningsbýtis-</t>
  </si>
  <si>
    <t>Eyðun á Rógvi Olsen</t>
  </si>
  <si>
    <t>Eyðun á Rógvi Olsen                                                    Eyðhild Skaalum                                                    Eyðfinn Færø</t>
  </si>
  <si>
    <t>Gjaldoyraterminshandlar og optiónir nýtt sum trygd eru bókað til marknaðarvirði við árslok.  Handlarnir eru tiknir við í</t>
  </si>
  <si>
    <t>rakstrarúrslitinum í virðisjavnan av fíggjartólum, og í fíggjarstøðuni tiknir við í viðkomandi ogn ella onnur ogn/onnur skuld.</t>
  </si>
  <si>
    <t>Rentuswaps nýttir sum trygd móti rentuváða eru ikki virðisjavnaðir til marknaðarvirði, men eru bert nevndir í viðmerkingunum.</t>
  </si>
  <si>
    <t>Rentur av rentuswaps eru roknaðar fyri tíðarskeiðið svarandi til roknskaparárið og bókað sum nettoupphædd í øðrum rentu-</t>
  </si>
  <si>
    <t>inntøkum í rakstrarroknskapinum og eru við í Onnur ogn / Onnur skuld í fíggjarstøðuni.</t>
  </si>
  <si>
    <t>Sølu- og afturkeypshandlar eru bókaðir sum Skuld til aðrar kredittstovnar.</t>
  </si>
  <si>
    <t>Onnur ogn</t>
  </si>
  <si>
    <t>Roknskaparposturin, ið fevnir um rentur tilgóðar, positivt marknaðarvirði av fíggjartólum og deposita, er bókaður til áljóðandi</t>
  </si>
  <si>
    <t>Tíðaravmarkingar (ogn)</t>
  </si>
  <si>
    <t>Roknskaparposturin, sum í høvuðsheitinum fevnir um frammanundan goldnar lønarútreiðslur, er bókaður til áljóðandi virði.</t>
  </si>
  <si>
    <t>Skuld til peningastovnar og tjóðbankar</t>
  </si>
  <si>
    <t>Skuldin er bókað til áljóðandi virði.</t>
  </si>
  <si>
    <t>Innlán</t>
  </si>
  <si>
    <t>Øll innlán eru bókað til áljóðandi virði.</t>
  </si>
  <si>
    <t>Skattur</t>
  </si>
  <si>
    <t>Skattur av ársúrsliti:</t>
  </si>
  <si>
    <t>Roknaður skattur av skattskyldugu inntøkuni verður útreiðsluførdur í rakstrarroknskapinum saman við broytingini í útsettum</t>
  </si>
  <si>
    <t>skatti.</t>
  </si>
  <si>
    <t>Avsetingar til skatt:</t>
  </si>
  <si>
    <t>Útsettur skattur verður avsettur við 20% av muninum millum roknskaparligu og skattligu virðini.</t>
  </si>
  <si>
    <t>Minnilutaáhugamál</t>
  </si>
  <si>
    <t>Parturin hjá minnilutunum í rakstrarroknskapinum og fíggjarstøðuni hjá konsernini er í samsvari við roknskaparkunngerðina hjá</t>
  </si>
  <si>
    <t>fíggjareftirlitinum ikki tikin burtur úr ársúrslitinum og eginpeninginum, men støddin á minnilutapørtunum er bert víst fyri seg. /</t>
  </si>
  <si>
    <t>Generelt</t>
  </si>
  <si>
    <t>Års- og koncernregnskabet er aflagt i overensstemmelse med Lov om banker og sparekasser mv.,  samt bekendtgørelse</t>
  </si>
  <si>
    <t>og vejledning  udstedt af Finanstilsynet om regnskabsaflæggelse for pengeinstitutter.</t>
  </si>
  <si>
    <t>Fondens regnskabspraksis er uændret i forhold til sidste år.</t>
  </si>
  <si>
    <t>Alle indtægter og udgifter er periodiserede, således at det alene er indtægter og udgifter, der kan henføres til regnskabsåret,</t>
  </si>
  <si>
    <t>der er medtaget i resultatopgørelsen.</t>
  </si>
  <si>
    <t>Bestyrelsen kan i henhold til lov nr. 462 af 12. juni 1996 om Finansieringsfonden af 1992 beslutte at uddele midler til</t>
  </si>
  <si>
    <t>Færøernes Landsstyre.</t>
  </si>
  <si>
    <t>I fondens koncernregnskab er foretaget en konsolidering af årsregnskabet for fondens datterselskab, P/F Føroya Banki.</t>
  </si>
  <si>
    <t>Koncernregnskabet er udarbejdet på grundlag af revideret regnskab for datterselskabet P/F Føroya Banki som et sammen-</t>
  </si>
  <si>
    <t>drag af regnskabsposter af ensartet karakter.</t>
  </si>
  <si>
    <t>Der er ved sammendraget foretaget eliminering af interne indtægter og udgifter, aktiebesiddelser og mellemværender.</t>
  </si>
  <si>
    <t>ið ikki er býttur í bólkar, er býttur í 1.000.000 partabrøv á kr 100. /</t>
  </si>
  <si>
    <t>Finansieringsfonden af 1992 ejer 99,4 % af aktiekapitalen. Aktiekapitalen, der ikke</t>
  </si>
  <si>
    <t>er opdelt i aktieklasser, er fordelt på 1.000.000 aktier á kr 100.</t>
  </si>
  <si>
    <t>Dótturfeløg / Datterselskaber</t>
  </si>
  <si>
    <t>Bankin hevur hetta dótturfelag, ið ikki er konsoliderað /</t>
  </si>
  <si>
    <t>Banken har følgende datterselskab, der ikke konsolideres.</t>
  </si>
  <si>
    <t>P/F Trygd (tryggingarfelag / forsikringsselskab) .................................................................................................</t>
  </si>
  <si>
    <t>Leysknýtt feløg / Associerede selskaber</t>
  </si>
  <si>
    <t>P/F Elektron .....................................................................................................................................................................</t>
  </si>
  <si>
    <t>Samsýning til valdar grannskoðarar / Honorar til valgte revisorer</t>
  </si>
  <si>
    <t>Samsýning til valdar grannskoðarar fyri farna roknskaparár /</t>
  </si>
  <si>
    <t>Honorar til valgte revisorer for det forløbne regnskabsår:</t>
  </si>
  <si>
    <t>Grannskoðan / Revision ..............................................................................................................................................................................</t>
  </si>
  <si>
    <t>Aðrar veitingar enn grannskoðan / Andre ydelser end revision ..........................................................................................................</t>
  </si>
  <si>
    <t>Álj. virði / Nom. værdi</t>
  </si>
  <si>
    <t>20 til 30 ár.</t>
  </si>
  <si>
    <t>3 til 5 ár.</t>
  </si>
  <si>
    <t>20 til 30 år.</t>
  </si>
  <si>
    <t>3 til 5 år.</t>
  </si>
  <si>
    <t>Eyðhild Skaalum</t>
  </si>
  <si>
    <t>Nils Sørensen</t>
  </si>
  <si>
    <t/>
  </si>
  <si>
    <t>Tilknýtt feløg /</t>
  </si>
  <si>
    <t>Tilknyttede virksomheder</t>
  </si>
  <si>
    <t>Fastar ognir /</t>
  </si>
  <si>
    <t>Grunde og ejdendomme</t>
  </si>
  <si>
    <t>Marknaðarvirði / Markedsværdi</t>
  </si>
  <si>
    <t>Positiv</t>
  </si>
  <si>
    <t xml:space="preserve">                Eyðfinn Færø</t>
  </si>
  <si>
    <t>Rasmussen &amp; Weihe, P/F</t>
  </si>
  <si>
    <t>Statsaut. grannskoðarafelag</t>
  </si>
  <si>
    <t>Konsern / Koncern</t>
  </si>
  <si>
    <t>Lán / Lån</t>
  </si>
  <si>
    <t>Leysknýtt feløg v.m. /</t>
  </si>
  <si>
    <t>Associerede virksomheder</t>
  </si>
  <si>
    <t>Rakstrargøgn /</t>
  </si>
  <si>
    <t>Driftsmidler</t>
  </si>
  <si>
    <t>Áljóðandi / Nominel</t>
  </si>
  <si>
    <t>Til og við 3 mðr. / Til og med 3 mdr.</t>
  </si>
  <si>
    <t>Meira enn 3 mðr. og til og við 1 ár / Over 3 mdr. til og med 1 år</t>
  </si>
  <si>
    <t>Meira enn 1 ár og til og við 5 ár / Over 1 år og til og med 5 år</t>
  </si>
  <si>
    <t>Meira enn  5 ár / Over 5 år</t>
  </si>
  <si>
    <t>Marknaðarvirði av sáttmálum bankin ikki ábyrgdast fyri /</t>
  </si>
  <si>
    <t>Markedsværdi af ikke-garanterede kontrakter</t>
  </si>
  <si>
    <t>Negativ</t>
  </si>
  <si>
    <t xml:space="preserve">Saldo </t>
  </si>
  <si>
    <t>Útlán og ábyrgdir í pst. við árslok /</t>
  </si>
  <si>
    <t>Udlån og garantidebitorer i  pct. ultimo året</t>
  </si>
  <si>
    <t>Partur av</t>
  </si>
  <si>
    <t>partapeningi/</t>
  </si>
  <si>
    <t>Andel af</t>
  </si>
  <si>
    <t>aktiekapitalen</t>
  </si>
  <si>
    <t>100 %</t>
  </si>
  <si>
    <t>Partapeningi/</t>
  </si>
  <si>
    <t>34 %</t>
  </si>
  <si>
    <t>Nettomarknaðarv. /</t>
  </si>
  <si>
    <t>Nettomarkedsv.</t>
  </si>
  <si>
    <t>Ársroknskapur /</t>
  </si>
  <si>
    <t>Årsregnskab</t>
  </si>
  <si>
    <t>Býti av</t>
  </si>
  <si>
    <t>Rakstrarv./</t>
  </si>
  <si>
    <t>Resultatdisp.</t>
  </si>
  <si>
    <t>Trygdir / Sikkerheder</t>
  </si>
  <si>
    <t>Aðrir kapitalpartar /</t>
  </si>
  <si>
    <t>Øvrige kapitalandele</t>
  </si>
  <si>
    <t>Netto marknaðarvirði /</t>
  </si>
  <si>
    <t>Netto markedsværdi</t>
  </si>
  <si>
    <t>Áogn hjá</t>
  </si>
  <si>
    <t>bankanum /</t>
  </si>
  <si>
    <t>Bankens</t>
  </si>
  <si>
    <t>tilgodeh.</t>
  </si>
  <si>
    <t>Saldo</t>
  </si>
  <si>
    <t>Skuld hjá</t>
  </si>
  <si>
    <t>gæld</t>
  </si>
  <si>
    <t xml:space="preserve">  </t>
  </si>
  <si>
    <t>1.</t>
  </si>
  <si>
    <t>2.</t>
  </si>
  <si>
    <t>3.</t>
  </si>
  <si>
    <t>4.</t>
  </si>
  <si>
    <t xml:space="preserve">                   Anvendt regnskabspraksis for det interne årsregnskab</t>
  </si>
  <si>
    <t>Innanhýsis ársroknskapurin fyri Fíggingargrunnin er ikki fevndur av ársroknskaparlógini, men er gjørdur eftir meginreglunum</t>
  </si>
  <si>
    <t>í hesi lóg.</t>
  </si>
  <si>
    <t>Valutakursindikator 1 i pct. af kernekapital efter fradrag ...........................................................................................................</t>
  </si>
  <si>
    <t>Renturváði / Renterisiko</t>
  </si>
  <si>
    <t>Rentuváði av fíggjartólum / Renterisiko på gældsinstrumenter ................................................................................................</t>
  </si>
  <si>
    <t>Aðrir kapitalpartar / Øvrige kapitalandele ........................................................................................................................................</t>
  </si>
  <si>
    <t>Fíggjarlig umsetningsogn / Finansielle omsætningsaktiver</t>
  </si>
  <si>
    <t>Fíggjarlig umsetningsogn ásett til marknaðarvirði /</t>
  </si>
  <si>
    <t>Finansielle omsætningsaktiver værdiansat til markedsværdi .......................................................................................................</t>
  </si>
  <si>
    <t>Munur millum útveganarvirði av fíggjarligari umsetningsogn omanfyri og hægra marknaðarvirði</t>
  </si>
  <si>
    <t>uppgerðardagin / Forskellen mellem købsprisen på finansielle omsætningsaktiver og den højere</t>
  </si>
  <si>
    <t>markedsværdi på opgørelsestidspunktet ..............................................................................................................................................</t>
  </si>
  <si>
    <t>Fíggjarlig umsetningsogn, ið ikki er ásett til marknaðarvirði / Finansielle omsætningsaktiver,</t>
  </si>
  <si>
    <t>der ikke er ansat til markedsværdi .......................................................................................................................................................</t>
  </si>
  <si>
    <t>Fíggjarlig støðisogn /</t>
  </si>
  <si>
    <t>Finansielle anlægsaktiver</t>
  </si>
  <si>
    <t>Keypsvirði við ársbyrjan /</t>
  </si>
  <si>
    <t>Samlet købspris primo ........................................................</t>
  </si>
  <si>
    <t>Valutakursjavni / Valutakursregulering .........................</t>
  </si>
  <si>
    <t>Tilgongd / Tilgang ................................................................</t>
  </si>
  <si>
    <t>Frágongd / Afgang .............................................................</t>
  </si>
  <si>
    <t>Samlaður keypsprísur við ársenda /</t>
  </si>
  <si>
    <t>Samlet købspris ultimo .......................................................</t>
  </si>
  <si>
    <t>Upp- og niðurskrivingar við ársbyrjan /</t>
  </si>
  <si>
    <t>Op- og nedskrivninger primo ............................................</t>
  </si>
  <si>
    <t>Valutakursjavni / Valutakursregulering ...........................</t>
  </si>
  <si>
    <t>Úrslit / Resultat ......................................................................</t>
  </si>
  <si>
    <t>Vinningsbýti / Udbytte ..........................................................</t>
  </si>
  <si>
    <t>Virðismunur við keyp /</t>
  </si>
  <si>
    <t>Forskelsværdi ved anskaffelse ..........................................</t>
  </si>
  <si>
    <t>Aðrar kapitalflytingar /</t>
  </si>
  <si>
    <t>Andre kapitalbevægelser ...................................................</t>
  </si>
  <si>
    <t>Upp- og niðurskrivingar í árinum /</t>
  </si>
  <si>
    <t>Årets op- og nedskrivninger ..............................................</t>
  </si>
  <si>
    <t>Afturfluttar upp- og niðurskrivingar /</t>
  </si>
  <si>
    <t>Tilbageførte op- og nedskrivninger ................................</t>
  </si>
  <si>
    <t>Upp- og niðurskrivingar við ársenda /</t>
  </si>
  <si>
    <t>Op- og nedskrivninger ultimo .............................................</t>
  </si>
  <si>
    <t>Kapitalpartar í móðurfeløgum /</t>
  </si>
  <si>
    <t>Kapitalandele i modervirksomheder ..............................</t>
  </si>
  <si>
    <t>Bókað virði við ársenda /</t>
  </si>
  <si>
    <t>Bogført beholdning ultimo ..................................................</t>
  </si>
  <si>
    <t>Av hesum kredittstovnar / Heraf kreditinstitutter</t>
  </si>
  <si>
    <t>Ítøkiligar ognir / Materielle aktiver</t>
  </si>
  <si>
    <t>Anskaffelsesværdi primo ....................................................</t>
  </si>
  <si>
    <t>Tilgongd / Tilgang .................................................................</t>
  </si>
  <si>
    <t>Frágongd / Afgang ..............................................................</t>
  </si>
  <si>
    <t>Av- og niðurskrivingar við ársbyrjan /</t>
  </si>
  <si>
    <t>Af- og nedskrivninger primo ..............................................</t>
  </si>
  <si>
    <t>Avskrivingar í árinum / Årets afskrivninger ............</t>
  </si>
  <si>
    <t>Niðurskrivingar í árinum /</t>
  </si>
  <si>
    <t>Årets nedskrivninger ..........................................................</t>
  </si>
  <si>
    <t>Afturfluttar av- og niðurskrivingar /</t>
  </si>
  <si>
    <t>Tilbageførte af- og nedskrivninger ..............................</t>
  </si>
  <si>
    <t>Av- og niðurskrivingar við ársenda /</t>
  </si>
  <si>
    <t>Af- og nedskrivninger ultimo ..........................................</t>
  </si>
  <si>
    <t>Bogført beholdning ultimo .................................................</t>
  </si>
  <si>
    <t>Avskrivað beinleiðis í rakstri /</t>
  </si>
  <si>
    <t>Årets straksafskrivninger ................................................</t>
  </si>
  <si>
    <t>Skuld til kredittstovnar og tjóðbankar / Gæld til kreditinstitutter og centralbanker</t>
  </si>
  <si>
    <t xml:space="preserve">                   Nýttur roknskaparháttur fyri innanhýsis ársroknskapin /</t>
  </si>
  <si>
    <t>Tøki peningur Grunsins stendur sum innskot í P/F Føroya Banka og í landskassavirðisbrøvum.</t>
  </si>
  <si>
    <t>Fondens likvide beholdning er placeret som indskud i P/F Føroya Banki og landskasseobligationer.</t>
  </si>
  <si>
    <t>virði, tó í mesta lagi útveganarvirði.</t>
  </si>
  <si>
    <t>til vurderet værdi, dog højst anskaffelsesværdi.</t>
  </si>
  <si>
    <t>Útlendsk gjaldoyra</t>
  </si>
  <si>
    <t>við árslok.</t>
  </si>
  <si>
    <t>Brævalán, partabrøv og pantibrøv</t>
  </si>
  <si>
    <t>Børsskrásett virðisbrøv eru bókað til teir alment skrásettu kursirnar við árslok.  Ikki skrásett virðisbrøv eru bókað til mett</t>
  </si>
  <si>
    <t>virði.</t>
  </si>
  <si>
    <t>Útlán, ábyrgdir og ogn hjá lánistovnum</t>
  </si>
  <si>
    <t xml:space="preserve">Útlán og ábyrgdir hjá P/F Føroya Banka eru eftirkannað og mett fyri at lýsa tapsvandan.  Tað hevur við sær, at áognir, sum </t>
  </si>
  <si>
    <t>lítlar og ongar vónir eru um at heinta inn, eru avskrivaðar, meðan lagt er upp fyri tapi av áognum, ið kunnu væntast at</t>
  </si>
  <si>
    <t>at geva tap.</t>
  </si>
  <si>
    <t>Fastrentað ogn er tikin við í fíggjarstøðuna til almennar kursir, tá gjørt verður upp, tó í mesta lagi restskuld í løtuni.  Virðis-</t>
  </si>
  <si>
    <t>javnan av fastrentaðari ogn er tikin við í rakstrarúrslitinum.</t>
  </si>
  <si>
    <t>Kapitalpartar í tilknýttum og leysknýttum feløgum</t>
  </si>
  <si>
    <t>Kapitalpartar í dótturfelagnum, sum P/F Føroya Banki eigur, er gjørdur upp til innara virði eftir equity-háttinum.</t>
  </si>
  <si>
    <t>Eginpeningur í leysknýttum feløgum er gjørdur upp til innara virði eftir equity-háttinum.</t>
  </si>
  <si>
    <t>Ítøkiligar ognir</t>
  </si>
  <si>
    <t>Grundøki og bygningar eru bókað til útveganar- ella marknaðarvirði.  Ognirnar eru mettar hvør sær.  Frá og við rokn-</t>
  </si>
  <si>
    <t>skaparárinum 1996 er framd ein skipað avskriving av teimum bygningum bankans, ið nýttir verða til vinnuendamál.</t>
  </si>
  <si>
    <t>Tól og innbúgv er bókað til útveganarvirði, har gjørdar avskrivingar eru frádrignar.  Avskrivingin er eins stór fyri tey einstøku</t>
  </si>
  <si>
    <t>roknskaparárini, og er sett út frá væntaðu nýtslutíðini.</t>
  </si>
  <si>
    <t>Væntaðu nýtslutíðirnar eru:</t>
  </si>
  <si>
    <t>Bygningar</t>
  </si>
  <si>
    <t>Tól og innbúgv</t>
  </si>
  <si>
    <t>Keyp undir 20 tkr. verða útreiðsluførd beinleiðis.</t>
  </si>
  <si>
    <t>Fíggjartól</t>
  </si>
  <si>
    <t>Eginpeningur í P/F Føroya Banka / Egenkapital i P/F Føroya Banki ........................................................................</t>
  </si>
  <si>
    <t>Partapeningur í P/F Føroya Banka (áljóðandi) / Aktier i P/F Føroya Banki (nominel) ......................................</t>
  </si>
  <si>
    <t>Partabrævaogn grunsins (áljóðandi) / Fondens aktiebeholdning (nom.) ................................................................</t>
  </si>
  <si>
    <t>Partur grunsins av eginpeningi í P/F Føroya Banka /</t>
  </si>
  <si>
    <t>Fondens andel af egenkapitalen i P/F Føroya Banki ........................................................................................................</t>
  </si>
  <si>
    <t>Virðisjavnan av kapitalpørtum við ársenda /</t>
  </si>
  <si>
    <t>Partabrævakursur í P/F Føroya Banka til innara virði /</t>
  </si>
  <si>
    <t>Herav partur minnilutapartaeigaranna í P/F Føroya Banka /</t>
  </si>
  <si>
    <t>Heraf minoritetsinteressernes andel i P/F Føroya Banki ..............................................................................................</t>
  </si>
  <si>
    <t>Fluttur vinningur primo / Overførte resultater primo .................................................................................................</t>
  </si>
  <si>
    <t>Ársúrslit / Årets resultat ...........................................................................................................................................................</t>
  </si>
  <si>
    <t>Burturlutan til Føroya Landsstýri / Udlodning til Færøernes Landsstyre .............................................................</t>
  </si>
  <si>
    <t>Fluttur vinningur ultimo / Overførte resultater ultimo ..................................................................................................</t>
  </si>
  <si>
    <t xml:space="preserve">Sambært viðtøkum grunsins kann nevndin gera av at útluta tiltakspening grunsins til Føroya </t>
  </si>
  <si>
    <t xml:space="preserve">Landsstýri. / Ifølge fondens vedtægter kan fondens reserver uddeles til Færøernes Landsstyre </t>
  </si>
  <si>
    <t>efter bestyrelsens beslutning.</t>
  </si>
  <si>
    <t xml:space="preserve">   Viðmerkingar til innanhýsis ársroknskap / Noter til internt årsregnskab</t>
  </si>
  <si>
    <t>Hensat til udlodning til Færøernes Landsstyre</t>
  </si>
  <si>
    <t>Burturlutan av vinningsbýti frá P/F Føroya Banka / Udlodning af udbytte fra P/F Føroya Banki ..............................</t>
  </si>
  <si>
    <t>Umframt ognarvøksturin frá P/F Føroya Banka kann úrslit</t>
  </si>
  <si>
    <t>grunsins sundurgreinast soleiðis / Bortset fra kapitalafkastet fra</t>
  </si>
  <si>
    <t>P/F Føroya Banki kan fondens eget resultat opgøres således:</t>
  </si>
  <si>
    <t>Rentuinntøkur netto / Netto renteindtægter ..................................................................................................................</t>
  </si>
  <si>
    <t>Vanligar útreiðslur tilsamans / Ordinære omkostninger ............................................................................................</t>
  </si>
  <si>
    <t>Virðisjavnan av virðisbrøvum / Kursregulering af obligationer ............................................................................</t>
  </si>
  <si>
    <t>Úrslit áðrenn skatt / Resultat før skat ..................................................................................................................................</t>
  </si>
  <si>
    <t>Skattur / Skat ................................................................................................................................................................................</t>
  </si>
  <si>
    <t xml:space="preserve">                            Roknskaparátekning / Regnskabspåtegning</t>
  </si>
  <si>
    <t>bestyrelse.</t>
  </si>
  <si>
    <t xml:space="preserve">Formaður / Formand                                                      </t>
  </si>
  <si>
    <t>Hildur Gunnarsdóttir                                              Nils Sørensen</t>
  </si>
  <si>
    <t xml:space="preserve">                              Grannskoðaraátekning / Revisionspåtegning</t>
  </si>
  <si>
    <t>og vanda hava vit undir grannskoðanini eftirkannað grundarlagið og skjalaprógvi undir teimum í roknskapinum upp-</t>
  </si>
  <si>
    <t>settu upphæddum og upplýsingum annars. Í hesi hava vit tikið støðu til nýttu roknskaparreglurnar og roknskaparligu</t>
  </si>
  <si>
    <t>metingarnar og hava mett, um upplýsingarnar í ársroknskapinum sum heild eru nøktandi.</t>
  </si>
  <si>
    <t>Renter og provision</t>
  </si>
  <si>
    <t>Alle renteindtægter og renteudgifter samt løbende provisioner periodiseres.</t>
  </si>
  <si>
    <t xml:space="preserve">Tilgodehavende og skyldige renter optages i balancen under Andre aktiver / Andre passiver. Aktieudbytte indtægtsføres på </t>
  </si>
  <si>
    <t>udlodningsstidspunktet.  Gebyrer og engangsprovisioner indtægtsføres løbende.</t>
  </si>
  <si>
    <t>Udlodning til Færøernes Landsstyre</t>
  </si>
  <si>
    <t xml:space="preserve">Fonden vil foretage udlodning til Færøernes Landsstyre. Udlodningen svarer til det beløb fonden modtager i udbytte fra </t>
  </si>
  <si>
    <t>P/F Føroya Banki.  Den påtænkte udlodning er indarbejdet i års- og koncernregnskabet.</t>
  </si>
  <si>
    <t>Fremmed valuta</t>
  </si>
  <si>
    <t>Aktiver og passiver i fremmed valuta optages til de pr. balancedagen noterede kurser. Valutaterminsforretninger optages</t>
  </si>
  <si>
    <t>Obligationer, aktier og pantebreve</t>
  </si>
  <si>
    <t>Børsnoterede værdipapirer optages til de officielt noterede kurser pr. balancedagen.  Unoterede værdipapirer optages</t>
  </si>
  <si>
    <t>Udlån, garantier og tilgodehavender hos andre kreditinstitutter</t>
  </si>
  <si>
    <t>P/F Føroya Banki's udlån og garantier underkastes en vurdering for at afdække risici og tab. Dubiøse debitorer afskrives,</t>
  </si>
  <si>
    <t>og der hensættes på risikobehæftede fordringer.</t>
  </si>
  <si>
    <t>Fastforrentede tilgodehavender optages i balancen til markedsværdien på opgørelsestidspunktet, dog højst til deres aktuelle</t>
  </si>
  <si>
    <t>restgæld.  Kursreguleringer af fastforrentede udlån medtages i resultatopgørelsen.</t>
  </si>
  <si>
    <t>Kapitalandele i tilknyttede og associerede virksomheder</t>
  </si>
  <si>
    <t>Kapitalandele af de af P/F Føroya Banki ejede datterselskaber og kapitalandele i associerede virksomheder optages til</t>
  </si>
  <si>
    <t>indre værdi efter equity-metoden.</t>
  </si>
  <si>
    <t>Materielle aktiver</t>
  </si>
  <si>
    <t>regnskabsåret 1996 foretages en systematisk afskrivning på de af bankens ejendomme, som anvendes til erhvervsmæssige</t>
  </si>
  <si>
    <t>formål.</t>
  </si>
  <si>
    <t>Maskiner og inventar afskrives liniært over 3 år.</t>
  </si>
  <si>
    <t>Kapitalandele i P/F Føroya Banki er i årsregnskabet optaget til den regnskabsmæssige indre værdi.</t>
  </si>
  <si>
    <t>øvrige kursregulering af aktierne i banken.</t>
  </si>
  <si>
    <t xml:space="preserve">                  RAKSTRARROKNSKAPUR / RESULTATOPGØRELSE</t>
  </si>
  <si>
    <t>Rentuinntøkur / Renteindtægter ........................................................................................................................</t>
  </si>
  <si>
    <t>Rentuútreiðslur / Renteudgifter ...........................................................................................................................</t>
  </si>
  <si>
    <t>Primeru inntøkur grunsins eru rentuinntøkur.   Hesar eru tí settar ovast í rakstrarroknskapinum.</t>
  </si>
  <si>
    <t>Maskinur og búnyttur verða avskrivaðar við eins stórum árligum upphæddum yvir 3 ár.</t>
  </si>
  <si>
    <t>Kapitalpartar í P/F Føroya Banka eru í ársroknskapinum gjørdir upp til roknskaparliga innara virði.</t>
  </si>
  <si>
    <t>kursjavnan av partabrøvunum í bankanum.</t>
  </si>
  <si>
    <t>Det interne årsregnskab for Finansieringsfonden er ikke omfattet af årsregnskabsloven, men er tilpasset hovedlinierne i denne lov.</t>
  </si>
  <si>
    <t>Bestyrelsen kan i henhold til lov nr. 462 af 12. juni 1996 om Finansieringsfonden af 1992 beslutte at uddele midler til Færøernes</t>
  </si>
  <si>
    <t>Landsstyre.</t>
  </si>
  <si>
    <t>Fondens primære indtægtskilde er renteindtægter.  Disse er derfor regnskabsteknisk placeret øverst i resultatopgørelsen.</t>
  </si>
  <si>
    <t>Børsnoterede værdipapirer optages til de officielt noterede kurser pr. balancedagen.</t>
  </si>
  <si>
    <t>Nýttur roknskaparháttur / Anvendt regnskabspraksis</t>
  </si>
  <si>
    <t>Roknskaparátekning / Regnskabspåtegning</t>
  </si>
  <si>
    <t>Grannskoðaraátekning / Revisionspåtegning</t>
  </si>
  <si>
    <t>Rakstrarúrslit / Resultatopgørelse</t>
  </si>
  <si>
    <t>Fíggjarstøða 31. desember / Balance pr 31. december</t>
  </si>
  <si>
    <t>Rentuváði býtt á fremmand gjaldoyru  við størst gjaldoyraváða /</t>
  </si>
  <si>
    <t>Renterisiko opdelt på instituttets valutaer med størst renterisiko</t>
  </si>
  <si>
    <t>DKK .......................................................................................................................................................................................................................</t>
  </si>
  <si>
    <t>EUR ......................................................................................................................................................................................................................</t>
  </si>
  <si>
    <t>NOK .....................................................................................................................................................................................................................</t>
  </si>
  <si>
    <t>Sundurgreining eftir restáramáli / Løbetidsfordeling efter restløbetid</t>
  </si>
  <si>
    <t xml:space="preserve">Ogn hjá kredittstovnum og tjóðbankum / </t>
  </si>
  <si>
    <t>Tilgodehavender hos kredittinstitutter og centralbanker</t>
  </si>
  <si>
    <t>Uttan uppsøgn / Anfordringstilgodehavender ....................................................................................................................................</t>
  </si>
  <si>
    <t>Til og við 3 mðr. / Til og med 3 mdr. ......................................................................................................................................................</t>
  </si>
  <si>
    <t>Útlán / Udlån</t>
  </si>
  <si>
    <t>Uttan uppsøgn / Anfordringstilgodehavender ................................................................................................................................</t>
  </si>
  <si>
    <t xml:space="preserve">Broytingin P/F Føroya Banki framdi í nýttum roknskaparhátti viðvíkjandi ognarføring av skattaognum samsvarandi reglum </t>
  </si>
  <si>
    <t xml:space="preserve">Den ændring P/F Føroya Banki gennemførte i anvendt regnskabspraksis vedrørende aktivering af skatteaktiver i henhold til </t>
  </si>
  <si>
    <t>regnskabsbestemmelser fastsat af myndighederne i 2001, påvirker ikke længere koncernens skattemæssige forhold.  Således</t>
  </si>
  <si>
    <t>Í staðin verður hetta tikið við sum kapitalpartar við innara virði eftir equity-háttinum.</t>
  </si>
  <si>
    <t xml:space="preserve">Fondens eksterne årsregnskab og koncernregnskab med tilhørende noter og oplysninger om anvendt regnskabspraksis </t>
  </si>
  <si>
    <t>fremgår af de følgende sider.</t>
  </si>
  <si>
    <t>Alment</t>
  </si>
  <si>
    <t>Árs- og konsernroknskapurin er gjørdur í samsvari við Lóg um bankar og sparikassar v.m. og kunngerð og leiðreglur</t>
  </si>
  <si>
    <t>frá Fíggjareftirlitinum viðvíkjandi roknskapi fyri peningastovnar.</t>
  </si>
  <si>
    <t>Roknskaparreglurnar eru óbroyttar í mun til undanfarna ár.</t>
  </si>
  <si>
    <t>Allar inntøkur og útreiðslur eru tíðaravmarkaðar, soleiðis at bert inntøkur og útreiðslur svarandi til roknskaparárið eru</t>
  </si>
  <si>
    <t>tiknar við í rakstrarroknskapinum.</t>
  </si>
  <si>
    <t>Sambært lóg nr 462 frá 12. juni 1996 um Fíggingargrunnin frá 1992 kann nevndin gera av at luta út pening til Føroya</t>
  </si>
  <si>
    <t>Landsstýri.</t>
  </si>
  <si>
    <t>Konsolidering</t>
  </si>
  <si>
    <t xml:space="preserve">Í konsernroknskapinum verður gjørd ein konsolidering av ársroknskapinum fyri dótturfelagið hjá grunninum, P/F Føroya </t>
  </si>
  <si>
    <t xml:space="preserve">Banka.  Konsernroknskapurin verður gjørdur við støði í grannskoðaðum ársroknskapi fyri dótturfelagið P/F Føroya Banka, </t>
  </si>
  <si>
    <t>og er ein samandráttur av roknskaparpostum, ið líkjast.</t>
  </si>
  <si>
    <t>Rentur og provisión</t>
  </si>
  <si>
    <t xml:space="preserve">Rentur tilgóðar og skyldugar rentur verða, um tær ikki verða lagdar beinleiðis afturat teimum statuspostum, tær verða </t>
  </si>
  <si>
    <t xml:space="preserve">knýttar at, bókaðar í fíggjarstøðuni sum onnur ogn / onnur skuld.  Vinningsbýti verður inntøkuført tá tað er tillutað.  Gjøld </t>
  </si>
  <si>
    <t>og eingangsprovisiónir verða inntøkuførd so hvørt.</t>
  </si>
  <si>
    <t>Útlutan til Føroya Landsstýri</t>
  </si>
  <si>
    <t xml:space="preserve">Grunnurin fer at luta út til Føroya Landsstýri.  Útlutanin svarar til ta upphædd grunnurin fær í vinningsbýti frá P/F Føroya </t>
  </si>
  <si>
    <t>Banka.  Ætlaða útlutanin er við í árs- og konsernroknskapinum.</t>
  </si>
  <si>
    <t>Hensat til udlodning til Færøernes Landsstyre ..............................................................................................</t>
  </si>
  <si>
    <t>SKULD TILSAMANS / GÆLD I ALT ...........................................................................................................</t>
  </si>
  <si>
    <t>EGINPENINGUR OG SKULD TILSAMANS / PASSIVER I ALT .................................................</t>
  </si>
  <si>
    <t>Notur til innanhýsis ársroknskap / Noter til internt årsregnskab</t>
  </si>
  <si>
    <t>Partabrøv í P/F Føroya Banka / Aktier i P/F Føroya Banki</t>
  </si>
  <si>
    <t>P/F FB Holding ...............................................................................................................................................................................................…</t>
  </si>
  <si>
    <t>Ábyrgdir o.a. / Garantier m.v. ..................................................................................................</t>
  </si>
  <si>
    <t>Aðrar skyldur / Andre forpligtelser .........................................................................................</t>
  </si>
  <si>
    <t>Tilsamans / I alt .............................................................................................................................</t>
  </si>
  <si>
    <t>Solvensuppgerð / Solvensopgørelse</t>
  </si>
  <si>
    <t>Ábyrgdarkapitalur og íroknaður ábyrgdarkapitalur eftir frádrátt /</t>
  </si>
  <si>
    <t>Ansvarlig kapital og kortfristet supplerende kapital efter fradrag ...............................................................................................</t>
  </si>
  <si>
    <t>Vigaðar ognir ikki íroknaðar handilsgoymslu / Vægtede poster uden for handelsbeholdningen ...................................</t>
  </si>
  <si>
    <t>Vigað tøl við marknaðarváða /  Vægtede poster med markedsrisiko .....................................................................................</t>
  </si>
  <si>
    <t>Vigaðar ognir og tøl tilsamans / Vægtede poster i alt ......................................................................................................................</t>
  </si>
  <si>
    <t>Kjarnukapitalur eftir frádrátt í prosent av vigaðum ognum og tølum /</t>
  </si>
  <si>
    <t>Kernekapital efter fradrag i procent af vægtede poster i alt ......................................................................................................</t>
  </si>
  <si>
    <t>Solvensprosent samb. BSL § 21, stk. 1 / Solvensprocent ifølge BSL § 21, stk.1 ..................................................................</t>
  </si>
  <si>
    <t>Solvensprosentið er uppgjørt sambært kunngerð frá Fíggjareftirlitinum um kapitalreglur fyri</t>
  </si>
  <si>
    <t>peningastovnar.  Kravið er 8%. / Solvensprocenten er opgjort i henhold til til Finanstilsynets</t>
  </si>
  <si>
    <t xml:space="preserve">bekendtgørelse om kapitaldækningsregler for pengeinstitutter og visse kreditinstitutter. </t>
  </si>
  <si>
    <t>Kravet er 8%.</t>
  </si>
  <si>
    <t>Grundfæ / Grundkapital ...............................................................................................................................................</t>
  </si>
  <si>
    <t>opnå en begrundet overbevisning om, at årsregnskabet er uden væsentlige fejl eller mangler. Under revisionen har vi ud fra en</t>
  </si>
  <si>
    <t>vurdering af væsentlighed og risiko efterprøvet grundlaget og dokumentationen for de i årsregnskabet anførte beløb og øvrige</t>
  </si>
  <si>
    <t>oplysninger. Vi har herunder taget stilling til den af ledelsen valgte regnskabspraksis og de udøvede regnskabsmæssige skøn</t>
  </si>
  <si>
    <t>samt vurderet, om årsregnskabets informationer som helhed er fyldestgørende.</t>
  </si>
  <si>
    <t>Det er vor opfattelse, at årsregnskabet giver et retvisende billede af fondens aktiver og passiver, økonomiske stilling samt</t>
  </si>
  <si>
    <t>resultat.</t>
  </si>
  <si>
    <t>Sundurgreinan av innanhýsis ársroknskapi / Specifikationer til internt årsregnskab</t>
  </si>
  <si>
    <t>DKK</t>
  </si>
  <si>
    <t>Maskinur og búnyttur / Maskiner og inventar</t>
  </si>
  <si>
    <t>Keypsvirði við ársbyrjan / Anskaffelsesværdi primo ..................................................................................................</t>
  </si>
  <si>
    <t>Tilgongd í árinum / Årets tilgang ........................................................................................................................................</t>
  </si>
  <si>
    <t>Samlaður keypsprísur við árs enda / Anskaffelsesværdi ultimo på aktiver i behold ..........................................</t>
  </si>
  <si>
    <t>Avskrivingar við ársbyrjan / Afskrivninger primo .......................................................................................................</t>
  </si>
  <si>
    <t>Avskrivingar í árinum / Årets afskrivninger .................................................................................................................</t>
  </si>
  <si>
    <t>Okkara fatan er, at ársroknskapurin gevur eina rættvísandi mynd av ogn, eginpeningi og skuld grunsins, tí fíggjarligu</t>
  </si>
  <si>
    <t>støðuni og úrslitinum. /</t>
  </si>
  <si>
    <t>Maskiner og inventar optages til anskaffelsesprisen med fradrag af foretagne afskrivninger.  Afskrivningerne er liniære og</t>
  </si>
  <si>
    <t>er sat i forhold til den forventede brugstid.</t>
  </si>
  <si>
    <t>De forventede brugstider er:</t>
  </si>
  <si>
    <t>Bygninger</t>
  </si>
  <si>
    <t>Maskiner og inventar</t>
  </si>
  <si>
    <t>Anskaffelser under tkr. 20 straksafskrives.</t>
  </si>
  <si>
    <t>Finansielle instrumenter</t>
  </si>
  <si>
    <t>Valutaterminsforretninger og optioner anvendt til sikringsformål optages til markedsværdien ultimo regnskabsåret.</t>
  </si>
  <si>
    <t>Forretningerne posteres resultatmæssigt under posten Kursregulering af øvrige finansielle instrumenter, og optages</t>
  </si>
  <si>
    <t>balancemæssigt under henholdsvis det tilhørende aktiv eller Andre aktiver / Andre passiver.</t>
  </si>
  <si>
    <t>Renteswaps benyttet til afdækning af renterisiko er ikke markedskursreguleret, men omtales alene i noterne.</t>
  </si>
  <si>
    <t>Renter vedrørende renteswaps periodiseres og medtages som nettorentebeløb under øvrige renteindtægter i resultat-</t>
  </si>
  <si>
    <t>opgørelsen og indgår i posten Andre aktiver / Andre passiver i balancen.</t>
  </si>
  <si>
    <t>Ægte salgs- og tilbagekøbsforretninger indgår i posterne Gæld til øvrige kreditinstitutter.</t>
  </si>
  <si>
    <t>Andre aktiver</t>
  </si>
  <si>
    <t>Posten, der blandt andet indeholder tilgodehavende renter, positiv markedsværdi af finansielle instrumenter og deposita,</t>
  </si>
  <si>
    <t>optages til pålydende værdi.</t>
  </si>
  <si>
    <t>Periodeafgrænsningsposter (aktiv)</t>
  </si>
  <si>
    <t>Posten, der hovedsagligt består af forudbetalte lønudgifter, er optaget til pålydende værdi.</t>
  </si>
  <si>
    <t>Gæld til kreditinstitutter og centralbanker</t>
  </si>
  <si>
    <t>Gælden er optaget til pålydende værdi.</t>
  </si>
  <si>
    <t>Indlån</t>
  </si>
  <si>
    <t>Alle indlån er optaget til pålydende værdi.</t>
  </si>
  <si>
    <t>Skat</t>
  </si>
  <si>
    <t>Skat af årets resultat:</t>
  </si>
  <si>
    <t>Beregnet skat af årets skattepligtige indkomst udgiftsføres i resultatopgørelsen tillige med resultatføring af årets ændring i</t>
  </si>
  <si>
    <t>hensættelse til udskudt skat.</t>
  </si>
  <si>
    <t>Hensættelser til skat:</t>
  </si>
  <si>
    <t>Udskudt skat hensættes med 20% af forskellen mellem regnskabsmæssige og skattemæssige værdier.</t>
  </si>
  <si>
    <t>Minoritetsinteresser</t>
  </si>
  <si>
    <t>Minoritetsinteressernes andel i resultatopgørelsen og balancen for koncernregnskabet er i henhold til finanstilsynets regnskabs-</t>
  </si>
  <si>
    <t>bekendtgørelse ikke udskilt af årets resultat henholdsvis egenkapitalen, men størrelsen på minoritetsinteresserne er alene oplyst.</t>
  </si>
  <si>
    <t>med vedtaget af fondens bestyrelse.</t>
  </si>
  <si>
    <t>Nevndin / Bestyrelsen:</t>
  </si>
  <si>
    <t>Hildur Gunnarsdóttir</t>
  </si>
  <si>
    <t>Grannskoðanin</t>
  </si>
  <si>
    <t>Rentuinntøkur netto / Netto renteindtægter ...................................................................................................</t>
  </si>
  <si>
    <t>Aðrar inntøkur / Andre indtægter ........................................................................................................................................................</t>
  </si>
  <si>
    <t>Starvsfólkakostnaður / Personaleudgifter ........................................................................................................</t>
  </si>
  <si>
    <t>Annar kostnaður / Andre udgifter ........................................................................................................................</t>
  </si>
  <si>
    <t>Úrslit áðrenn virðisjavna / Resultat før kursreguleringer .............................................................................</t>
  </si>
  <si>
    <t>Vinningsbýti frá p/f Føroya Banka / Udbytte fra p/f Føroya Banki .........................................................</t>
  </si>
  <si>
    <t>Virðisjavnan av virðisbrøvum / Kursregulering af obligationer ................................................................</t>
  </si>
  <si>
    <t>Koncernregnskabet omfatter fonden og P/F Føroya Banki.  Forsikringsselskabet P/F Trygd skal ikke konsolideres på grund</t>
  </si>
  <si>
    <t>Í samandráttinum verða tiknar burtur innanhýsis inntøkur og útreiðslur, partabrævaogn og millumverandi.</t>
  </si>
  <si>
    <t>Allar rentuinntøkur, rentuútreiðslur og provisiónir verða tíðaravmarkaðar.</t>
  </si>
  <si>
    <t xml:space="preserve">Ogn og skuld í útlendskum gjaldoyra eru bókað til kursin við árslok.  Gjaldoyraterminshandlar eru bókaðir til terminskursin </t>
  </si>
  <si>
    <t>til terminskursen pr. balancedagen.</t>
  </si>
  <si>
    <t>Grunde og ejendomme optages til anskaffelsespris eller markedsværdi, efter konkret individuel vurdering.  Fra og med</t>
  </si>
  <si>
    <t>formaður / formand</t>
  </si>
  <si>
    <t xml:space="preserve">Vit hava fyrireikað og framt grannskoðanina í samsvari við vanliga góðkendar grannskoðanarreglur við atliti til at fáa eina </t>
  </si>
  <si>
    <t xml:space="preserve">grundaða sannføring um, at roknskapurin ikki inniheldur týðandi feilir ella manglar. Út frá eini meting um týdning og vanda </t>
  </si>
  <si>
    <t xml:space="preserve">hava vit undir grannskoðanini eftirkannað grundarlagið og skjalaprógvi undir teimum í roknskapinum uppsettu upphæddum </t>
  </si>
  <si>
    <t>mett, um upplýsingarnar í árs- og konsernroknskapinum sum heild eru nøktandi.</t>
  </si>
  <si>
    <t xml:space="preserve">og upplýsingum annars. Í hesi hava vit tikið støðu til nýttu roknskaparreglurnar og roknskaparligu metingarnar og hava </t>
  </si>
  <si>
    <t>Udgifter til personale m.v. og administration .......................................................................</t>
  </si>
  <si>
    <t>Av- og niðurskrivingar av óítøkiligum og ítøkiligum ognum /</t>
  </si>
  <si>
    <t>Af- og nedskrivninger på immaterielle og materielle aktiver ........................................................................</t>
  </si>
  <si>
    <t>Tap og burturleggingar fyri skuldarar (netto) /</t>
  </si>
  <si>
    <t>Tab og hensættelser på debitorer (netto) ..............................................................................</t>
  </si>
  <si>
    <t>Úrslit av kapitaláhugamálum /</t>
  </si>
  <si>
    <t>Resultat af kapitalandele i associerede og tilknyttede virksomheder .......................</t>
  </si>
  <si>
    <t>Úrslit av vanligum rakstri undan skatti / Ordinært resultat før skat ...........................</t>
  </si>
  <si>
    <t>Skattur / Skat .................................................................................................................................</t>
  </si>
  <si>
    <t>Ársúrslit / Årets resultat ............................................................................................................</t>
  </si>
  <si>
    <t>Av hesum partur hjá minnilutapartaeigarum /</t>
  </si>
  <si>
    <t>Heraf minoritetsinteressers andel ............................................................................................</t>
  </si>
  <si>
    <t>Ogn / Aktiver</t>
  </si>
  <si>
    <t>Kassapeningur og ogn uttan uppsøgn í tjóðbankum /</t>
  </si>
  <si>
    <t>Kassebeholdning og anfordringstilgodehavender hos centralbanker .......................</t>
  </si>
  <si>
    <t>Ogn hjá kredittstovnum o.a. / Tilgodehavender hos kreditinstitutter m.v. ...............</t>
  </si>
  <si>
    <t>Útlán / Udlån ................................................................................................................................</t>
  </si>
  <si>
    <t>Lánsbrøv o.a. / Obligationer m.v. ...........................................................................................</t>
  </si>
  <si>
    <t>Partabrøv o. a. / Aktier m.v. ......................................................................................................</t>
  </si>
  <si>
    <t>Kapitalandele i associerede virksomheder ..........................................................................</t>
  </si>
  <si>
    <t>Kapitalpartar í tilknýttum fyritøkum /</t>
  </si>
  <si>
    <t>Kapitalandele i tilknyttede virksomheder ............................................................................</t>
  </si>
  <si>
    <t>Óítøkiligar ognir / Immaterielle aktiver ...........................................................................</t>
  </si>
  <si>
    <t>Ítøkiligar ognir / Materielle aktiver ........................................................................................</t>
  </si>
  <si>
    <t>Egnir kapitalpartar / Egne kapitalandele ..............................................................................</t>
  </si>
  <si>
    <t>Aðrar ognir / Andre aktiver .......................................................................................................</t>
  </si>
  <si>
    <t>Tíðaravmarkingar / Periodeafgrænsningsposter ...................................................................</t>
  </si>
  <si>
    <t>Ognir tilsamans / Aktiver i alt ....................................................................................................</t>
  </si>
  <si>
    <t>Skuld / Passiver</t>
  </si>
  <si>
    <t>Skuld til kredittstovnar og tjóðbankar /</t>
  </si>
  <si>
    <t>Børsskrásett virðisbrøv eru bókað til almennan noteraðan kurs við ársenda 2004.</t>
  </si>
  <si>
    <t>Grunnurin hevur í roknskaparárinum 2004 fingið útlutað vinningsbýti frá P/F Føroya Banka, og er hetta inntøkuført uttanum</t>
  </si>
  <si>
    <t xml:space="preserve">Fonden er for regnskabsåret 2004 tildelt udbytte fra P/F Føroya Banki.  Udbyttet er indtægtsført over driften, særskilt fra den </t>
  </si>
  <si>
    <t xml:space="preserve">Eginpeningurin pr. 31/12-2004 er í innanhýsisársroknskapi grunsins uppgjørdur til </t>
  </si>
  <si>
    <t>Eginpeningur samb. konsernroknskapi grunsins 31/12-2004 /</t>
  </si>
  <si>
    <t>Egenkapital iflg. fondens koncernregnskab 31/12-2004 .............................................................................................</t>
  </si>
  <si>
    <t>Eginpeningur samb. innanhýsis roknskapi grunsins 31/12-2004 /</t>
  </si>
  <si>
    <t>Egenkapital ifølge fondens interne regnskab 31/12-2004 .............................................................................................</t>
  </si>
  <si>
    <t>Ársroknskapurin fyri 2004 er við hesum góðtikin av nevnd grunsins. / Årsregnskabet for 2004 er hermed vedtaget af fondens</t>
  </si>
  <si>
    <t>Terminir/futures, keyp / Terminer/futures, køb ..................................................................................</t>
  </si>
  <si>
    <t>Terminir/futures, søla / Terminer/futures, salg ..................................................................................</t>
  </si>
  <si>
    <t>Terminir/futures, keyp / Terminer/futures, køb .....................................................................</t>
  </si>
  <si>
    <t>Terminir/futures, søla / Terminer/futures, salg ......................................................................</t>
  </si>
  <si>
    <t>Kjarnukapitalur eftir frádrátt / Basiskapital efter fradrag ..........................................................................................................</t>
  </si>
  <si>
    <t>Ársroknskapurin vísir eitt avlop á 96,7 mió. kr. móti 38,0 mió. kr. í 2003, meðan konsernroknskapurin vísir eitt avlop á 97,3</t>
  </si>
  <si>
    <t>mió. kr. móti 38,3 mió. kr. í 2003.  Munurin er parturin hjá minnilutapartaeigarunum á 0,6 mió. kr. móti 0,2 mió. kr. í 2003.</t>
  </si>
  <si>
    <t>Útlutanin í árinum til minnilutapartaeigararnar er 0,3 mió. kr.</t>
  </si>
  <si>
    <t>ásettar av myndugleikunum í 2001, ávirkar ikki longur skattligu viðurskiftini hjá konsernini.  Sostatt eru útreiðsluførdar 24,1</t>
  </si>
  <si>
    <t xml:space="preserve">Eginpeningurin í konsernini var 1.583,9 mió. kr. við árslok.  Av hesum eiga minnilutapartaeigarar 9,0 mió. kr.  Partur </t>
  </si>
  <si>
    <t>grunsins av eginpeninginum er 1.574,9 mió. kr.</t>
  </si>
  <si>
    <t>Årsregnskabet udviser et overskud på 96,7 mio. kr. mod 38,0 mio. kr. i 2003, mens koncernregnskabet udviser et overskud</t>
  </si>
  <si>
    <t>på 97,3 mio. kr. mod 38,3 mio. kr. i 2003.  Forskellen udgøres af minoritetsaktionærernes andel på 0,6 mio. kr. imod</t>
  </si>
  <si>
    <t>0,2 mio. kr. i 2003.  Årets udlodning til minoritetsaktionærer er 0,3 mio. kr.</t>
  </si>
  <si>
    <t xml:space="preserve">P/F Føroya Banki har udbetalt 49,7 mio. kr. i udbytte til fonden vedrørende 2004 mod 19,9 mio. kr. året før.  Der skal ikke </t>
  </si>
  <si>
    <t xml:space="preserve">mió. kr. í skatti í konsernroknskapinum fyri 2004, sum svara til 20% av úrslitinum áðrenn skatt, sum mest sum allar stava </t>
  </si>
  <si>
    <t>frá ársroknskapi bankans.</t>
  </si>
  <si>
    <t xml:space="preserve">er der i koncernregnskabet udgiftsført 24,1 mio. kr. til skat i 2004, som svarer til 20% af resultatet før skat.  Praktisk talt </t>
  </si>
  <si>
    <t>hele beløbet stammer fra bankens regnskab.</t>
  </si>
  <si>
    <t>Koncernens egenkapital udviser 1.583,9 mio. kr. ved årets udgang.  Heraf udgør minoritetsinteressernes andel 9,0 mio. kr.</t>
  </si>
  <si>
    <t>Fondens andel af egenkapitalen udgør 1.574,9 mio. kr.</t>
  </si>
  <si>
    <t>Konsolidering av dótturfelagnum hjá P/F Føroya Banka verður ikki framd.</t>
  </si>
  <si>
    <t>Der er ikke foretaget konsolidering af P/F Føroya Banki's datterselskaber.</t>
  </si>
  <si>
    <t>I stedet er disse medtaget som kapitalandele optaget til indre værdi efter equitymetoden.</t>
  </si>
  <si>
    <t>Tórshavn, hin 23. juni 2005</t>
  </si>
  <si>
    <t>Tilsamans / I alt ............................................................................................................................................................................................</t>
  </si>
  <si>
    <t>Avsetingar til skyldur / Hensættelser til forpligtelser</t>
  </si>
  <si>
    <t>Avsett til eftirlønarútreiðslur / Hensættelser til pensioner og lignende forpligtelser ............................................................</t>
  </si>
  <si>
    <t>Avsett til væntandi skatt / Hensat til udskudt skat .............................................................................................................................</t>
  </si>
  <si>
    <t>Aðrar avsetingar til útreiðslur / Øvrige hensættelser til forpligtelser ......................................................................................</t>
  </si>
  <si>
    <t>Ogn og skuld hjá tilknýttum og leysknýttum feløgum /</t>
  </si>
  <si>
    <t>Mellemværender med tilknyttede og associerede virksomheder m.v.</t>
  </si>
  <si>
    <t>Leysknýtt feløg / Associerede selskaber:</t>
  </si>
  <si>
    <t>Innlán / Indlån ...................................................................................................................................................................................................</t>
  </si>
  <si>
    <t>Tilknýtt feløg / Tilknyttede selskaber:</t>
  </si>
  <si>
    <t>Kredittváðar / Kreditrisici</t>
  </si>
  <si>
    <t xml:space="preserve">Útlán og ábyrgdarskuldarar býtt í vinnugreinir / </t>
  </si>
  <si>
    <t>Udlån og garantidebitorer fordelt på sektorer og brancher</t>
  </si>
  <si>
    <t>Almennir myndugleikar / Offentlige myndigheder ............................................................................................................................</t>
  </si>
  <si>
    <t>Vinna / Erhverv:</t>
  </si>
  <si>
    <t>Fiskivinna / Fiskeri ........................................................................................................................................................................................</t>
  </si>
  <si>
    <t>Framleiðsluvinna v.m. / Fremstillingsvirksomhed m.v. ................................................................................................................</t>
  </si>
  <si>
    <t>Byggivinna v.m. / Bygge- og anlægsvirksomhed ...........................................................................................................................</t>
  </si>
  <si>
    <t>Handil, matstovu- og gistingarhúsvinna / Handel restaurations- og hotelvirksomhed ..........................................................</t>
  </si>
  <si>
    <t>Fluttningur, postur og telefon / Transport, post og telefon ............................................................................................................</t>
  </si>
  <si>
    <t>Handil við fastari ogn  v.m. / Ejendomsadministration og -handel, forretningsservice ........................................................</t>
  </si>
  <si>
    <t>Aðrar vinnur / Øvrige erhverv ...............................................................................................................................................................</t>
  </si>
  <si>
    <t>Vinna tilsamans / Erhverv i alt ..................................................................................................................................................................</t>
  </si>
  <si>
    <t>Privat / Privat ...............................................................................................................................................................................................</t>
  </si>
  <si>
    <t>Tilsamans / I alt ...........................................................................................................................................................................................</t>
  </si>
  <si>
    <t>Kredittváði av fíggjartólum /</t>
  </si>
  <si>
    <t>Kreditrisiko på afledte finansielle instrumenter</t>
  </si>
  <si>
    <t xml:space="preserve">Positvt marknaðarvirði aftaná netting / Positiv markedsværdi efter netting </t>
  </si>
  <si>
    <t>Vinningsbýtiskattur / Udbytteskat ........................................................................................................................................................</t>
  </si>
  <si>
    <t>Javnan av roknaðum skatti / Efterregulering af tidligere års beregnet skat ..........................................................................</t>
  </si>
  <si>
    <t>Stjórn og nevnd / Direktion og bestyrelse</t>
  </si>
  <si>
    <t>Lán, veð, borgsskyldur ella ábyrgdir og trygdir stovnað fyri leiðslu bankans /</t>
  </si>
  <si>
    <t>Størrelsen af lån, pant kaution eller garantier samt tilhørende sikkerhedsstillelser</t>
  </si>
  <si>
    <t xml:space="preserve"> stiftet for nedennævnte ledelsesmedlemmer</t>
  </si>
  <si>
    <t>Stjórn / Direktion .........................................................................................................................</t>
  </si>
  <si>
    <t>Nevnd / Bestyrelse .........................................................................................................................</t>
  </si>
  <si>
    <t>Samsýning til grannskoðarar / Revisionshonorar</t>
  </si>
  <si>
    <t>Samsýning til grannskoðarar valdir á aðalfundi /</t>
  </si>
  <si>
    <t>Samlet honorar til generalforsamlingsvalgte revisonsvirksomheder,</t>
  </si>
  <si>
    <t>der udfører den lovpligtige revision ..........................................................................................................................................................</t>
  </si>
  <si>
    <t>Av hesum annað arbeiði enn grannskoðan / Heraf andre ydelser end revision ....................................................................</t>
  </si>
  <si>
    <t>Tal av starvsfólkum / Antal beskæftigede</t>
  </si>
  <si>
    <t>Miðaltal av starvsfólkum í roknskaparárinum umroknað til fulla tíð /</t>
  </si>
  <si>
    <t>Det gennemsnitlige antal beskæftigede i regnskabsåret omregnet til heltidsbeskæftigede ...........................................</t>
  </si>
  <si>
    <t>Ogn hjá kredittstovnum og tjóðbankum /</t>
  </si>
  <si>
    <t>Tilgodehavender hos kreditinstitutter og centralbanker</t>
  </si>
  <si>
    <t>Ágóði við uppsøgn hjá tjóðbankum / Tilgodehavender på opsigelse hos centralbanker ........................................................</t>
  </si>
  <si>
    <t>Aðrar skyldur / Øvrige forpligtelser .......................................................................................................................................................</t>
  </si>
  <si>
    <t>Bókað virði við árs enda / Bogført beholdning ultimo ......................................................................................................</t>
  </si>
  <si>
    <t>Virðisbrøv / Obligationer</t>
  </si>
  <si>
    <t>Fíggjarligar inntøkur / Finansielle indtægter</t>
  </si>
  <si>
    <t>Rentuinntøkur Føroya Banki 101.532.1 / Renteindtægter Føroya Banki 101.532.1 .....................................</t>
  </si>
  <si>
    <t>Rentuinntøkur Føroya Banki 510.203.2 / Renteindtægter Føroya Banki 510.203.2 ......................................</t>
  </si>
  <si>
    <t>Renta av lánsbrøvum / Rente af obligationer .................................................................................................................</t>
  </si>
  <si>
    <t>Starvsfólkakostnaður / Personaleudgifter</t>
  </si>
  <si>
    <t>Samsýning til nevnd / Honorar til bestyrelse ..................................................................................................................</t>
  </si>
  <si>
    <t>Løn til skrivarar / Løn til sekretariat ..................................................................................................................................</t>
  </si>
  <si>
    <t>Sosialar útreiðslur / Sociale udgifter ....................................................................................................................................</t>
  </si>
  <si>
    <t>Annar kostnaður / Andre udgifter</t>
  </si>
  <si>
    <t>Ferðaútreiðslur og fundir / Rejseomkostninger og møder .......................................................................................</t>
  </si>
  <si>
    <t>Ársfrágreiðing - prenting / Årsberetningen - trykomkostninger ...........................................................................</t>
  </si>
  <si>
    <t>Skrivstovuútreiðslur / Kontorudgifter ..............................................................................................................................</t>
  </si>
  <si>
    <t>Kostnaðarútreiðslur / Gebyromkostninger ..............................................................................................................</t>
  </si>
  <si>
    <t>Grannskoðan av ársroknskapi / Revision af årsregnskab ........................................................................................</t>
  </si>
  <si>
    <t>Ráðgeving og hjálp frá grannskoðarum íroknað regulering fyri farin ár /</t>
  </si>
  <si>
    <t>Rådgivning og assistance fra revisorerne incl. regulering for tidligere år ..............................................................</t>
  </si>
  <si>
    <t xml:space="preserve">Útreiðslur til bankan fyri bókhald og uppsetan av roknskapum / </t>
  </si>
  <si>
    <t>Udgifter til banken til bogholderi og regnskabsudarbejdelse ....................................................................................</t>
  </si>
  <si>
    <t>Telefon / Telefon ..........................................................................................................................................................................</t>
  </si>
  <si>
    <t>Frakt og postgjald / Fragt og porto ....................................................................................................................................</t>
  </si>
  <si>
    <t>Umvælingar og viðlíkahald / Reparation og vedligeholdelse ...................................................................................</t>
  </si>
  <si>
    <t>Annar kostnaður / Andre omkostninger .......................................................................................................................</t>
  </si>
  <si>
    <t>Kurtaga / Kurtage .............................................................................................................................................................</t>
  </si>
  <si>
    <t>Vinningsbýti frá P/F Føroya Banka / Udbytte fra P/F Føroya Banki</t>
  </si>
  <si>
    <t>Minnilutapartaeigarar (0,6% - sí notu 1) / Minoritetsaktionærer (0,6% - se note 1)</t>
  </si>
  <si>
    <t>Vinningsbýtiskattur / Udbytteskat</t>
  </si>
  <si>
    <t>Vinningsbýti netto / Nettoudbytte</t>
  </si>
  <si>
    <t>Fíggingargrunnurin / Finansieringsfonden</t>
  </si>
  <si>
    <t>Ársúrslit bankans / Bankens årsresultat</t>
  </si>
  <si>
    <t xml:space="preserve">Vinningsbýti  / Udbytte </t>
  </si>
  <si>
    <t>Øking av eginpeningi / Forøgelse af egenkapital</t>
  </si>
  <si>
    <t>Av hesum partur grunnsins / Heraf fondens andel</t>
  </si>
  <si>
    <t>Tøkur peningur / Likvide beholdninger</t>
  </si>
  <si>
    <t>Føroya Banki 101.532.1</t>
  </si>
  <si>
    <t>Føroya Banki 510.203.2</t>
  </si>
  <si>
    <t>Kostnaður til skuldar / Skyldige omkostninger</t>
  </si>
  <si>
    <t>Skyldugur skattur av ársúrsliti / Skyldig skat af årets resultat</t>
  </si>
  <si>
    <t>Avsett til grannskoðan og aðra ráðgeving / Hensat til revisionsomkostninger og rådgivning</t>
  </si>
  <si>
    <t>Skyldugar útreiðslur / Skyldige omkostninger</t>
  </si>
  <si>
    <t xml:space="preserve">     Klaus Rasmussen                        Ole Guldborg Nielsen</t>
  </si>
  <si>
    <t>statsaut. revisor                               cand.merc.aud.</t>
  </si>
  <si>
    <t>Nota /</t>
  </si>
  <si>
    <t>Note</t>
  </si>
  <si>
    <t>Nota/</t>
  </si>
  <si>
    <t>Kursvirði / Kursværdi</t>
  </si>
  <si>
    <t>Navnvirði / Nom. værdi</t>
  </si>
  <si>
    <t>Færøernes Landsstyre 2% 2004 ...............................................................................................</t>
  </si>
  <si>
    <t>Færøernes Landsstyre 3,5% 2006 ...............................................................................................</t>
  </si>
  <si>
    <t>Virðisjavnan av kapitalpørtum í P/F Føroya Banka /</t>
  </si>
  <si>
    <t>Kursregulering af kapitalandele i P/F Føroya Banki</t>
  </si>
  <si>
    <t>Súni Schwartz Jacobsen                         Finnbjørn Zachariasen</t>
  </si>
  <si>
    <t>statsaut. revisor                                       statsaut. revisor</t>
  </si>
  <si>
    <t>at minoritetsinteressernes andel af egenkapitalen i henhold til Bank- og sparekasselovens</t>
  </si>
  <si>
    <t>regnskabsbestemmelser er medtaget i egenkapitalen i koncernregnskabet.</t>
  </si>
  <si>
    <t>sambært roknskaparviðtøkunum í Banka- og sparikassalógini, er tikin við í konsernrokn-</t>
  </si>
  <si>
    <t>skapinum. /</t>
  </si>
  <si>
    <t>statsaut. revisor                         statsaut. revisor</t>
  </si>
  <si>
    <t>statsaut. revisor                                cand.merc.aud.</t>
  </si>
  <si>
    <t xml:space="preserve">     Klaus Rasmussen                         Ole Guldborg Nielsen</t>
  </si>
  <si>
    <t>Aðrar rakstrarútreiðslur / Andre ordinære udgifter ...........................................................................…</t>
  </si>
  <si>
    <t>Uttan uppsøgn / På anfordring ..............................................................................................................................................................</t>
  </si>
  <si>
    <t>Við uppsøgn / Med opsigelsesvarsel ...................................................................................................................................................</t>
  </si>
  <si>
    <t>Terminir/futures, søla / Terminer/futures, salg .................................................................</t>
  </si>
  <si>
    <t>Optiónir, keyptar / Optioner, købte ..........................................................................................</t>
  </si>
  <si>
    <t>Optiónir, seldar / Optioner, solgte ............................................................................................</t>
  </si>
  <si>
    <t>Rentusáttmálar / Rentekontrakter</t>
  </si>
  <si>
    <t>Swaps / Swaps .............................................................................................................................</t>
  </si>
  <si>
    <t>Swaps / Swaps ...........................................................................................................................</t>
  </si>
  <si>
    <t>Swaps / Swaps ...............................................................................................................................</t>
  </si>
  <si>
    <t>Terminir/futures, keyp / Terminer/futures, køb 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</si>
</sst>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;;;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8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10"/>
      <name val="Times New Roman"/>
      <family val="0"/>
    </font>
    <font>
      <sz val="10"/>
      <color indexed="10"/>
      <name val="Times New Roman"/>
      <family val="0"/>
    </font>
    <font>
      <b/>
      <sz val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centerContinuous"/>
    </xf>
    <xf numFmtId="164" fontId="4" fillId="2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4" fontId="4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5" fontId="4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5" fontId="4" fillId="2" borderId="0" xfId="0" applyNumberFormat="1" applyFont="1" applyFill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3" fontId="4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centerContinuous"/>
    </xf>
    <xf numFmtId="0" fontId="4" fillId="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fill"/>
    </xf>
    <xf numFmtId="3" fontId="4" fillId="3" borderId="1" xfId="0" applyNumberFormat="1" applyFont="1" applyFill="1" applyAlignment="1">
      <alignment/>
    </xf>
    <xf numFmtId="3" fontId="4" fillId="0" borderId="1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11" fillId="0" borderId="0" xfId="0" applyNumberFormat="1" applyFont="1" applyAlignment="1">
      <alignment horizontal="centerContinuous"/>
    </xf>
    <xf numFmtId="164" fontId="4" fillId="3" borderId="0" xfId="0" applyNumberFormat="1" applyFont="1" applyFill="1" applyAlignment="1">
      <alignment/>
    </xf>
    <xf numFmtId="3" fontId="10" fillId="3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/>
    </xf>
    <xf numFmtId="1" fontId="4" fillId="3" borderId="0" xfId="0" applyNumberFormat="1" applyFont="1" applyFill="1" applyAlignment="1">
      <alignment/>
    </xf>
    <xf numFmtId="3" fontId="4" fillId="2" borderId="1" xfId="0" applyNumberFormat="1" applyFont="1" applyFill="1" applyAlignment="1">
      <alignment/>
    </xf>
    <xf numFmtId="1" fontId="4" fillId="0" borderId="1" xfId="0" applyNumberFormat="1" applyFont="1" applyAlignment="1">
      <alignment/>
    </xf>
    <xf numFmtId="3" fontId="10" fillId="3" borderId="0" xfId="0" applyNumberFormat="1" applyFont="1" applyFill="1" applyAlignment="1">
      <alignment horizontal="centerContinuous"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" fontId="10" fillId="3" borderId="0" xfId="0" applyNumberFormat="1" applyFont="1" applyFill="1" applyAlignment="1">
      <alignment horizontal="centerContinuous"/>
    </xf>
    <xf numFmtId="3" fontId="13" fillId="0" borderId="0" xfId="0" applyNumberFormat="1" applyFont="1" applyAlignment="1">
      <alignment/>
    </xf>
    <xf numFmtId="3" fontId="13" fillId="3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fill"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Alignment="1">
      <alignment/>
    </xf>
    <xf numFmtId="3" fontId="10" fillId="0" borderId="0" xfId="0" applyNumberFormat="1" applyFont="1" applyAlignment="1">
      <alignment horizontal="fill"/>
    </xf>
    <xf numFmtId="0" fontId="4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 horizontal="centerContinuous"/>
    </xf>
    <xf numFmtId="3" fontId="10" fillId="2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1" fontId="9" fillId="3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fill"/>
    </xf>
    <xf numFmtId="3" fontId="9" fillId="0" borderId="0" xfId="0" applyNumberFormat="1" applyFont="1" applyAlignment="1">
      <alignment horizontal="fill"/>
    </xf>
    <xf numFmtId="1" fontId="9" fillId="3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/>
    </xf>
    <xf numFmtId="1" fontId="9" fillId="3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3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3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3" borderId="0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3" borderId="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3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4" fillId="3" borderId="0" xfId="0" applyNumberFormat="1" applyFont="1" applyFill="1" applyAlignment="1">
      <alignment/>
    </xf>
    <xf numFmtId="3" fontId="4" fillId="3" borderId="1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1" fontId="4" fillId="3" borderId="1" xfId="0" applyNumberFormat="1" applyFont="1" applyFill="1" applyAlignment="1">
      <alignment/>
    </xf>
    <xf numFmtId="3" fontId="4" fillId="3" borderId="0" xfId="0" applyNumberFormat="1" applyFont="1" applyFill="1" applyAlignment="1">
      <alignment horizontal="centerContinuous"/>
    </xf>
    <xf numFmtId="3" fontId="4" fillId="3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3" borderId="1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4" fillId="3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166" fontId="4" fillId="0" borderId="0" xfId="0" applyNumberFormat="1" applyFont="1" applyAlignment="1">
      <alignment/>
    </xf>
    <xf numFmtId="3" fontId="4" fillId="3" borderId="2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" fontId="9" fillId="3" borderId="0" xfId="0" applyNumberFormat="1" applyFont="1" applyFill="1" applyAlignment="1">
      <alignment horizontal="right"/>
    </xf>
    <xf numFmtId="1" fontId="9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Alignment="1">
      <alignment/>
    </xf>
    <xf numFmtId="3" fontId="10" fillId="3" borderId="0" xfId="0" applyNumberFormat="1" applyFont="1" applyFill="1" applyAlignment="1">
      <alignment horizontal="centerContinuous"/>
    </xf>
    <xf numFmtId="1" fontId="4" fillId="3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5"/>
  <sheetViews>
    <sheetView zoomScale="87" zoomScaleNormal="87" workbookViewId="0" topLeftCell="A1">
      <selection activeCell="Q21" sqref="Q21"/>
    </sheetView>
  </sheetViews>
  <sheetFormatPr defaultColWidth="8.6640625" defaultRowHeight="15"/>
  <cols>
    <col min="1" max="1" width="2.6640625" style="1" customWidth="1"/>
    <col min="2" max="2" width="2.6640625" style="2" customWidth="1"/>
    <col min="3" max="3" width="10.4453125" style="1" customWidth="1"/>
    <col min="4" max="4" width="1.66796875" style="1" customWidth="1"/>
    <col min="5" max="5" width="6.6640625" style="1" customWidth="1"/>
    <col min="6" max="6" width="1.66796875" style="1" customWidth="1"/>
    <col min="7" max="7" width="6.6640625" style="1" customWidth="1"/>
    <col min="8" max="8" width="1.66796875" style="1" customWidth="1"/>
    <col min="9" max="9" width="6.6640625" style="1" customWidth="1"/>
    <col min="10" max="10" width="1.66796875" style="1" customWidth="1"/>
    <col min="11" max="11" width="6.6640625" style="1" customWidth="1"/>
    <col min="12" max="12" width="1.66796875" style="1" customWidth="1"/>
    <col min="13" max="13" width="8.21484375" style="1" customWidth="1"/>
    <col min="14" max="14" width="1.66796875" style="1" customWidth="1"/>
    <col min="15" max="15" width="8.21484375" style="1" customWidth="1"/>
    <col min="16" max="16" width="1.66796875" style="1" customWidth="1"/>
    <col min="17" max="17" width="8.10546875" style="1" customWidth="1"/>
    <col min="18" max="18" width="1.66796875" style="1" customWidth="1"/>
    <col min="19" max="19" width="8.21484375" style="1" customWidth="1"/>
    <col min="20" max="20" width="8.6640625" style="1" customWidth="1"/>
    <col min="21" max="21" width="12.5546875" style="1" customWidth="1"/>
    <col min="22" max="16384" width="8.6640625" style="1" customWidth="1"/>
  </cols>
  <sheetData>
    <row r="1" spans="1:2" ht="174.75" customHeight="1">
      <c r="A1" s="2"/>
      <c r="B1" s="1"/>
    </row>
    <row r="2" spans="1:2" ht="30" customHeight="1">
      <c r="A2" s="2"/>
      <c r="B2" s="1"/>
    </row>
    <row r="3" spans="1:17" ht="22.5">
      <c r="A3" s="2"/>
      <c r="B3" s="1"/>
      <c r="C3" s="3"/>
      <c r="D3" s="3"/>
      <c r="E3" s="3"/>
      <c r="F3" s="3"/>
      <c r="G3" s="3"/>
      <c r="H3" s="3"/>
      <c r="Q3" s="4" t="s">
        <v>145</v>
      </c>
    </row>
    <row r="4" spans="1:17" ht="22.5">
      <c r="A4" s="2"/>
      <c r="B4" s="1"/>
      <c r="C4" s="3"/>
      <c r="D4" s="3"/>
      <c r="E4" s="3"/>
      <c r="F4" s="3"/>
      <c r="G4" s="3"/>
      <c r="H4" s="3"/>
      <c r="Q4" s="4" t="s">
        <v>146</v>
      </c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2"/>
      <c r="B6" s="3"/>
      <c r="C6" s="3"/>
      <c r="D6" s="3"/>
      <c r="E6" s="3"/>
      <c r="F6" s="3"/>
      <c r="G6" s="3"/>
      <c r="H6" s="3"/>
    </row>
    <row r="7" spans="1:8" ht="12.75">
      <c r="A7" s="2"/>
      <c r="B7" s="3"/>
      <c r="C7" s="3"/>
      <c r="D7" s="3"/>
      <c r="E7" s="3"/>
      <c r="F7" s="3"/>
      <c r="G7" s="3"/>
      <c r="H7" s="3"/>
    </row>
    <row r="8" spans="1:8" ht="18.75">
      <c r="A8" s="2"/>
      <c r="B8" s="5"/>
      <c r="C8" s="3"/>
      <c r="D8" s="3"/>
      <c r="E8" s="3"/>
      <c r="F8" s="3"/>
      <c r="G8" s="3"/>
      <c r="H8" s="3"/>
    </row>
    <row r="9" spans="1:8" ht="18.75">
      <c r="A9" s="2"/>
      <c r="B9" s="5"/>
      <c r="C9" s="3"/>
      <c r="D9" s="3"/>
      <c r="E9" s="3"/>
      <c r="F9" s="3"/>
      <c r="G9" s="3"/>
      <c r="H9" s="3"/>
    </row>
    <row r="10" spans="1:2" ht="12.75">
      <c r="A10" s="2"/>
      <c r="B10" s="1"/>
    </row>
    <row r="11" spans="1:2" ht="12.75">
      <c r="A11" s="2"/>
      <c r="B11" s="1"/>
    </row>
    <row r="12" spans="1:8" ht="15.75">
      <c r="A12" s="2"/>
      <c r="B12" s="6"/>
      <c r="C12" s="3"/>
      <c r="D12" s="3"/>
      <c r="E12" s="3"/>
      <c r="F12" s="3"/>
      <c r="G12" s="3"/>
      <c r="H12" s="3"/>
    </row>
    <row r="14" spans="1:23" ht="15.75">
      <c r="A14" s="7" t="s">
        <v>147</v>
      </c>
      <c r="B14" s="3"/>
      <c r="C14" s="3"/>
      <c r="D14" s="3"/>
      <c r="E14" s="3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/>
      <c r="U14" s="8"/>
      <c r="V14" s="8"/>
      <c r="W14" s="8"/>
    </row>
    <row r="17" spans="3:17" ht="12.75">
      <c r="C17" s="9" t="s">
        <v>1</v>
      </c>
      <c r="O17" s="10"/>
      <c r="Q17" s="11"/>
    </row>
    <row r="18" spans="3:17" ht="12.75">
      <c r="C18" s="12" t="s">
        <v>2</v>
      </c>
      <c r="O18" s="10"/>
      <c r="Q18" s="11"/>
    </row>
    <row r="19" spans="3:17" ht="12.75">
      <c r="C19" s="12" t="s">
        <v>259</v>
      </c>
      <c r="Q19" s="13"/>
    </row>
    <row r="20" spans="3:17" ht="12.75">
      <c r="C20" s="12" t="s">
        <v>260</v>
      </c>
      <c r="Q20" s="13"/>
    </row>
    <row r="21" spans="3:17" ht="12.75">
      <c r="C21" s="12"/>
      <c r="Q21" s="13"/>
    </row>
    <row r="22" spans="3:17" ht="12.75">
      <c r="C22" s="114" t="s">
        <v>720</v>
      </c>
      <c r="Q22" s="13"/>
    </row>
    <row r="23" spans="3:17" ht="12.75">
      <c r="C23" s="114" t="s">
        <v>721</v>
      </c>
      <c r="Q23" s="13"/>
    </row>
    <row r="24" spans="3:17" ht="12.75">
      <c r="C24" s="114" t="s">
        <v>722</v>
      </c>
      <c r="I24" s="9"/>
      <c r="Q24" s="13"/>
    </row>
    <row r="25" spans="3:17" ht="12.75">
      <c r="C25" s="12"/>
      <c r="I25" s="9"/>
      <c r="Q25" s="13"/>
    </row>
    <row r="26" spans="3:20" ht="12.75">
      <c r="C26" s="12" t="s">
        <v>261</v>
      </c>
      <c r="Q26" s="13"/>
      <c r="T26" s="14"/>
    </row>
    <row r="27" spans="3:20" ht="12.75">
      <c r="C27" s="12" t="s">
        <v>3</v>
      </c>
      <c r="Q27" s="13"/>
      <c r="T27" s="14"/>
    </row>
    <row r="28" spans="3:20" ht="12.75">
      <c r="C28" s="12"/>
      <c r="Q28" s="13"/>
      <c r="T28" s="14"/>
    </row>
    <row r="29" spans="3:20" ht="12.75">
      <c r="C29" s="12" t="s">
        <v>557</v>
      </c>
      <c r="Q29" s="13"/>
      <c r="T29" s="14"/>
    </row>
    <row r="30" spans="3:20" ht="12.75">
      <c r="C30" s="12" t="s">
        <v>723</v>
      </c>
      <c r="Q30" s="13"/>
      <c r="T30" s="14"/>
    </row>
    <row r="31" spans="3:20" ht="12.75">
      <c r="C31" s="12" t="s">
        <v>730</v>
      </c>
      <c r="Q31" s="13"/>
      <c r="T31" s="14"/>
    </row>
    <row r="32" spans="3:20" ht="12.75">
      <c r="C32" s="12" t="s">
        <v>731</v>
      </c>
      <c r="Q32" s="13"/>
      <c r="T32" s="14"/>
    </row>
    <row r="33" spans="3:20" ht="12.75">
      <c r="C33" s="12"/>
      <c r="Q33" s="13"/>
      <c r="T33" s="14"/>
    </row>
    <row r="34" spans="3:20" ht="12.75">
      <c r="C34" s="12" t="s">
        <v>724</v>
      </c>
      <c r="I34" s="9"/>
      <c r="Q34" s="13"/>
      <c r="T34" s="14" t="s">
        <v>373</v>
      </c>
    </row>
    <row r="35" spans="3:20" ht="12.75">
      <c r="C35" s="12" t="s">
        <v>725</v>
      </c>
      <c r="I35" s="9"/>
      <c r="Q35" s="13"/>
      <c r="T35" s="14"/>
    </row>
    <row r="36" spans="3:20" ht="12.75">
      <c r="C36" s="12"/>
      <c r="I36" s="9"/>
      <c r="Q36" s="13"/>
      <c r="T36" s="14"/>
    </row>
    <row r="37" spans="3:17" ht="12.75">
      <c r="C37" s="12" t="s">
        <v>4</v>
      </c>
      <c r="Q37" s="13"/>
    </row>
    <row r="38" ht="12.75">
      <c r="Q38" s="13"/>
    </row>
    <row r="39" ht="12.75">
      <c r="Q39" s="13"/>
    </row>
    <row r="40" spans="3:17" ht="12.75">
      <c r="C40" s="9" t="s">
        <v>5</v>
      </c>
      <c r="Q40" s="13"/>
    </row>
    <row r="41" spans="3:17" ht="12.75">
      <c r="C41" s="12" t="s">
        <v>6</v>
      </c>
      <c r="Q41" s="13"/>
    </row>
    <row r="42" spans="3:17" ht="12.75">
      <c r="C42" s="12" t="s">
        <v>664</v>
      </c>
      <c r="Q42" s="13"/>
    </row>
    <row r="43" spans="3:17" ht="12.75">
      <c r="C43" s="12" t="s">
        <v>7</v>
      </c>
      <c r="Q43" s="13"/>
    </row>
    <row r="44" spans="3:17" ht="12.75">
      <c r="C44" s="12"/>
      <c r="Q44" s="13"/>
    </row>
    <row r="45" spans="3:17" ht="12.75">
      <c r="C45" s="12" t="s">
        <v>726</v>
      </c>
      <c r="Q45" s="13"/>
    </row>
    <row r="46" spans="3:17" ht="12.75">
      <c r="C46" s="12" t="s">
        <v>727</v>
      </c>
      <c r="O46" s="13"/>
      <c r="Q46" s="13"/>
    </row>
    <row r="47" spans="3:17" ht="12.75">
      <c r="C47" s="12" t="s">
        <v>728</v>
      </c>
      <c r="Q47" s="13"/>
    </row>
    <row r="48" spans="3:17" ht="12.75">
      <c r="C48" s="12"/>
      <c r="Q48" s="13"/>
    </row>
    <row r="49" spans="3:17" ht="12.75">
      <c r="C49" s="12" t="s">
        <v>729</v>
      </c>
      <c r="O49" s="13"/>
      <c r="Q49" s="13"/>
    </row>
    <row r="50" spans="3:17" ht="12.75">
      <c r="C50" s="12" t="s">
        <v>8</v>
      </c>
      <c r="Q50" s="13"/>
    </row>
    <row r="51" spans="3:17" ht="12.75">
      <c r="C51" s="12"/>
      <c r="Q51" s="13"/>
    </row>
    <row r="52" spans="3:17" ht="12.75">
      <c r="C52" s="12" t="s">
        <v>558</v>
      </c>
      <c r="Q52" s="13"/>
    </row>
    <row r="53" spans="3:17" ht="12.75">
      <c r="C53" s="12" t="s">
        <v>559</v>
      </c>
      <c r="Q53" s="13"/>
    </row>
    <row r="54" spans="3:17" ht="12.75">
      <c r="C54" s="12" t="s">
        <v>732</v>
      </c>
      <c r="Q54" s="13"/>
    </row>
    <row r="55" spans="3:17" ht="12.75">
      <c r="C55" s="12" t="s">
        <v>733</v>
      </c>
      <c r="Q55" s="13"/>
    </row>
    <row r="56" spans="3:17" ht="12.75">
      <c r="C56" s="12"/>
      <c r="Q56" s="13"/>
    </row>
    <row r="57" spans="3:17" ht="12.75">
      <c r="C57" s="12" t="s">
        <v>734</v>
      </c>
      <c r="I57" s="9"/>
      <c r="Q57" s="13"/>
    </row>
    <row r="58" spans="3:17" ht="12.75">
      <c r="C58" s="12" t="s">
        <v>735</v>
      </c>
      <c r="Q58" s="13"/>
    </row>
    <row r="59" spans="3:17" ht="12.75">
      <c r="C59" s="12"/>
      <c r="Q59" s="13"/>
    </row>
    <row r="60" spans="3:17" ht="12.75">
      <c r="C60" s="12" t="s">
        <v>561</v>
      </c>
      <c r="Q60" s="13"/>
    </row>
    <row r="61" spans="3:17" ht="12.75">
      <c r="C61" s="12" t="s">
        <v>562</v>
      </c>
      <c r="Q61" s="13"/>
    </row>
    <row r="62" spans="3:17" ht="12.75">
      <c r="C62" s="12"/>
      <c r="Q62" s="13"/>
    </row>
    <row r="63" spans="1:23" ht="15.75">
      <c r="A63" s="7" t="s">
        <v>540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5"/>
      <c r="R63" s="3"/>
      <c r="S63" s="3"/>
      <c r="T63" s="8"/>
      <c r="U63" s="8"/>
      <c r="V63" s="8"/>
      <c r="W63" s="8"/>
    </row>
    <row r="64" spans="13:17" ht="12.75">
      <c r="M64" s="13"/>
      <c r="Q64" s="13"/>
    </row>
    <row r="65" spans="3:17" ht="12.75">
      <c r="C65" s="9" t="s">
        <v>563</v>
      </c>
      <c r="M65" s="13"/>
      <c r="Q65" s="13"/>
    </row>
    <row r="66" spans="3:17" ht="12.75">
      <c r="C66" s="12" t="s">
        <v>564</v>
      </c>
      <c r="M66" s="13"/>
      <c r="Q66" s="13"/>
    </row>
    <row r="67" spans="3:17" ht="12.75">
      <c r="C67" s="12" t="s">
        <v>565</v>
      </c>
      <c r="M67" s="13"/>
      <c r="Q67" s="13"/>
    </row>
    <row r="68" spans="3:17" ht="12.75">
      <c r="C68" s="12" t="s">
        <v>566</v>
      </c>
      <c r="M68" s="13"/>
      <c r="Q68" s="13"/>
    </row>
    <row r="69" spans="3:17" ht="12.75">
      <c r="C69" s="12" t="s">
        <v>567</v>
      </c>
      <c r="M69" s="13"/>
      <c r="Q69" s="13"/>
    </row>
    <row r="70" spans="3:17" ht="12.75">
      <c r="C70" s="12" t="s">
        <v>568</v>
      </c>
      <c r="M70" s="13"/>
      <c r="Q70" s="13"/>
    </row>
    <row r="71" spans="3:17" ht="12.75">
      <c r="C71" s="12" t="s">
        <v>569</v>
      </c>
      <c r="M71" s="13"/>
      <c r="Q71" s="13"/>
    </row>
    <row r="72" spans="3:17" ht="12.75">
      <c r="C72" s="12" t="s">
        <v>570</v>
      </c>
      <c r="M72" s="13"/>
      <c r="Q72" s="13"/>
    </row>
    <row r="73" spans="13:17" ht="12.75">
      <c r="M73" s="13"/>
      <c r="Q73" s="13"/>
    </row>
    <row r="74" spans="3:17" ht="12.75">
      <c r="C74" s="9" t="s">
        <v>571</v>
      </c>
      <c r="M74" s="13"/>
      <c r="Q74" s="13"/>
    </row>
    <row r="75" spans="3:17" ht="12.75">
      <c r="C75" s="12" t="s">
        <v>572</v>
      </c>
      <c r="M75" s="13"/>
      <c r="Q75" s="13"/>
    </row>
    <row r="76" spans="3:17" ht="12.75">
      <c r="C76" s="12" t="s">
        <v>573</v>
      </c>
      <c r="M76" s="13"/>
      <c r="Q76" s="13"/>
    </row>
    <row r="77" spans="3:17" ht="12.75">
      <c r="C77" s="12" t="s">
        <v>574</v>
      </c>
      <c r="M77" s="13"/>
      <c r="Q77" s="13"/>
    </row>
    <row r="78" spans="3:17" ht="12.75">
      <c r="C78" s="12" t="s">
        <v>665</v>
      </c>
      <c r="M78" s="13"/>
      <c r="Q78" s="13"/>
    </row>
    <row r="79" spans="3:17" ht="12.75">
      <c r="C79" s="12" t="s">
        <v>736</v>
      </c>
      <c r="M79" s="13"/>
      <c r="Q79" s="13"/>
    </row>
    <row r="80" spans="3:17" ht="12.75">
      <c r="C80" s="12" t="s">
        <v>560</v>
      </c>
      <c r="M80" s="13"/>
      <c r="Q80" s="13"/>
    </row>
    <row r="81" spans="13:17" ht="12.75">
      <c r="M81" s="13"/>
      <c r="Q81" s="13"/>
    </row>
    <row r="82" spans="3:17" ht="12.75">
      <c r="C82" s="9" t="s">
        <v>575</v>
      </c>
      <c r="M82" s="13"/>
      <c r="Q82" s="13"/>
    </row>
    <row r="83" spans="3:17" ht="12.75">
      <c r="C83" s="12" t="s">
        <v>666</v>
      </c>
      <c r="M83" s="16"/>
      <c r="O83" s="17"/>
      <c r="Q83" s="16"/>
    </row>
    <row r="84" spans="3:17" ht="12.75">
      <c r="C84" s="12" t="s">
        <v>576</v>
      </c>
      <c r="M84" s="13"/>
      <c r="Q84" s="13"/>
    </row>
    <row r="85" spans="3:17" ht="12.75">
      <c r="C85" s="12" t="s">
        <v>577</v>
      </c>
      <c r="M85" s="18"/>
      <c r="O85" s="19"/>
      <c r="Q85" s="18"/>
    </row>
    <row r="86" spans="3:17" ht="12.75">
      <c r="C86" s="12" t="s">
        <v>578</v>
      </c>
      <c r="M86" s="18"/>
      <c r="O86" s="19"/>
      <c r="Q86" s="18"/>
    </row>
    <row r="87" spans="13:17" ht="12.75">
      <c r="M87" s="16"/>
      <c r="O87" s="17"/>
      <c r="Q87" s="16"/>
    </row>
    <row r="88" spans="3:17" ht="12.75">
      <c r="C88" s="9" t="s">
        <v>579</v>
      </c>
      <c r="M88" s="20"/>
      <c r="O88" s="21"/>
      <c r="Q88" s="20"/>
    </row>
    <row r="89" spans="3:17" ht="12.75">
      <c r="C89" s="12" t="s">
        <v>580</v>
      </c>
      <c r="M89" s="20"/>
      <c r="O89" s="21"/>
      <c r="Q89" s="20"/>
    </row>
    <row r="90" spans="3:17" ht="12.75">
      <c r="C90" s="12" t="s">
        <v>581</v>
      </c>
      <c r="M90" s="20"/>
      <c r="O90" s="21"/>
      <c r="Q90" s="20"/>
    </row>
    <row r="91" spans="13:17" ht="12.75">
      <c r="M91" s="20"/>
      <c r="O91" s="21"/>
      <c r="Q91" s="20"/>
    </row>
    <row r="92" spans="3:17" ht="12.75">
      <c r="C92" s="9" t="s">
        <v>444</v>
      </c>
      <c r="M92" s="20"/>
      <c r="O92" s="21"/>
      <c r="Q92" s="20"/>
    </row>
    <row r="93" spans="3:17" ht="12.75">
      <c r="C93" s="12" t="s">
        <v>667</v>
      </c>
      <c r="M93" s="20"/>
      <c r="O93" s="21"/>
      <c r="Q93" s="20"/>
    </row>
    <row r="94" spans="3:17" ht="12.75">
      <c r="C94" s="12" t="s">
        <v>445</v>
      </c>
      <c r="M94" s="20"/>
      <c r="O94" s="21"/>
      <c r="Q94" s="20"/>
    </row>
    <row r="95" spans="13:17" ht="12.75">
      <c r="M95" s="20"/>
      <c r="O95" s="21"/>
      <c r="Q95" s="20"/>
    </row>
    <row r="96" spans="3:17" ht="12.75">
      <c r="C96" s="9" t="s">
        <v>446</v>
      </c>
      <c r="M96" s="20"/>
      <c r="O96" s="21"/>
      <c r="Q96" s="20"/>
    </row>
    <row r="97" spans="3:17" ht="12.75">
      <c r="C97" s="12" t="s">
        <v>447</v>
      </c>
      <c r="M97" s="20"/>
      <c r="O97" s="21"/>
      <c r="Q97" s="20"/>
    </row>
    <row r="98" spans="3:17" ht="12.75">
      <c r="C98" s="12" t="s">
        <v>442</v>
      </c>
      <c r="M98" s="20"/>
      <c r="O98" s="21"/>
      <c r="Q98" s="20"/>
    </row>
    <row r="99" spans="3:17" ht="12.75">
      <c r="C99" s="12"/>
      <c r="M99" s="20"/>
      <c r="O99" s="21"/>
      <c r="Q99" s="20"/>
    </row>
    <row r="100" spans="3:17" ht="12.75">
      <c r="C100" s="9" t="s">
        <v>449</v>
      </c>
      <c r="M100" s="20"/>
      <c r="O100" s="21"/>
      <c r="Q100" s="20"/>
    </row>
    <row r="101" spans="3:17" ht="12.75">
      <c r="C101" s="12" t="s">
        <v>450</v>
      </c>
      <c r="M101" s="20"/>
      <c r="O101" s="21"/>
      <c r="Q101" s="20"/>
    </row>
    <row r="102" spans="3:17" ht="12.75">
      <c r="C102" s="12" t="s">
        <v>451</v>
      </c>
      <c r="M102" s="20"/>
      <c r="O102" s="21"/>
      <c r="Q102" s="20"/>
    </row>
    <row r="103" spans="3:17" ht="12.75">
      <c r="C103" s="12" t="s">
        <v>452</v>
      </c>
      <c r="M103" s="20"/>
      <c r="O103" s="21"/>
      <c r="Q103" s="20"/>
    </row>
    <row r="104" spans="3:17" ht="12.75">
      <c r="C104" s="12" t="s">
        <v>453</v>
      </c>
      <c r="M104" s="20"/>
      <c r="O104" s="21"/>
      <c r="Q104" s="20"/>
    </row>
    <row r="105" spans="3:17" ht="12.75">
      <c r="C105" s="12" t="s">
        <v>454</v>
      </c>
      <c r="M105" s="20"/>
      <c r="O105" s="21"/>
      <c r="Q105" s="20"/>
    </row>
    <row r="106" spans="13:17" ht="12.75">
      <c r="M106" s="20"/>
      <c r="O106" s="21"/>
      <c r="Q106" s="20"/>
    </row>
    <row r="107" spans="3:17" ht="12.75">
      <c r="C107" s="9" t="s">
        <v>455</v>
      </c>
      <c r="M107" s="20"/>
      <c r="O107" s="21"/>
      <c r="Q107" s="20"/>
    </row>
    <row r="108" spans="3:17" ht="12.75">
      <c r="C108" s="12" t="s">
        <v>456</v>
      </c>
      <c r="M108" s="20"/>
      <c r="O108" s="21"/>
      <c r="Q108" s="20"/>
    </row>
    <row r="109" spans="3:17" ht="12.75">
      <c r="C109" s="12" t="s">
        <v>457</v>
      </c>
      <c r="M109" s="20"/>
      <c r="O109" s="21"/>
      <c r="Q109" s="20"/>
    </row>
    <row r="110" spans="3:17" ht="12.75">
      <c r="C110" s="12"/>
      <c r="M110" s="20"/>
      <c r="O110" s="21"/>
      <c r="Q110" s="20"/>
    </row>
    <row r="111" spans="3:17" ht="12.75">
      <c r="C111" s="9" t="s">
        <v>458</v>
      </c>
      <c r="M111" s="20"/>
      <c r="O111" s="21"/>
      <c r="Q111" s="20"/>
    </row>
    <row r="112" spans="3:17" ht="12.75">
      <c r="C112" s="12" t="s">
        <v>459</v>
      </c>
      <c r="M112" s="20"/>
      <c r="O112" s="21"/>
      <c r="Q112" s="20"/>
    </row>
    <row r="113" spans="3:17" ht="12.75">
      <c r="C113" s="12" t="s">
        <v>460</v>
      </c>
      <c r="M113" s="20"/>
      <c r="O113" s="21"/>
      <c r="Q113" s="20"/>
    </row>
    <row r="114" spans="3:17" ht="12.75">
      <c r="C114" s="12" t="s">
        <v>461</v>
      </c>
      <c r="M114" s="20"/>
      <c r="O114" s="21"/>
      <c r="Q114" s="20"/>
    </row>
    <row r="115" spans="3:17" ht="12.75">
      <c r="C115" s="12" t="s">
        <v>462</v>
      </c>
      <c r="M115" s="20"/>
      <c r="O115" s="21"/>
      <c r="Q115" s="20"/>
    </row>
    <row r="116" spans="3:17" ht="12.75">
      <c r="C116" s="12"/>
      <c r="M116" s="20"/>
      <c r="O116" s="21"/>
      <c r="Q116" s="20"/>
    </row>
    <row r="117" spans="3:17" ht="12.75">
      <c r="C117" s="12" t="s">
        <v>463</v>
      </c>
      <c r="M117" s="20"/>
      <c r="O117" s="21"/>
      <c r="Q117" s="20"/>
    </row>
    <row r="118" spans="3:17" ht="12.75">
      <c r="C118" s="12" t="s">
        <v>464</v>
      </c>
      <c r="G118" s="22" t="s">
        <v>314</v>
      </c>
      <c r="M118" s="20"/>
      <c r="O118" s="21"/>
      <c r="Q118" s="20"/>
    </row>
    <row r="119" spans="3:17" ht="12.75">
      <c r="C119" s="12" t="s">
        <v>465</v>
      </c>
      <c r="G119" s="22" t="s">
        <v>315</v>
      </c>
      <c r="M119" s="20"/>
      <c r="O119" s="21"/>
      <c r="Q119" s="20"/>
    </row>
    <row r="120" spans="3:17" ht="12.75">
      <c r="C120" s="12"/>
      <c r="M120" s="20"/>
      <c r="O120" s="21"/>
      <c r="Q120" s="20"/>
    </row>
    <row r="121" spans="3:17" ht="12.75">
      <c r="C121" s="12" t="s">
        <v>466</v>
      </c>
      <c r="M121" s="20"/>
      <c r="O121" s="21"/>
      <c r="Q121" s="20"/>
    </row>
    <row r="122" spans="13:17" ht="12.75">
      <c r="M122" s="20"/>
      <c r="O122" s="21"/>
      <c r="Q122" s="20"/>
    </row>
    <row r="123" spans="3:17" ht="12.75">
      <c r="C123" s="9" t="s">
        <v>467</v>
      </c>
      <c r="M123" s="20"/>
      <c r="O123" s="21"/>
      <c r="Q123" s="20"/>
    </row>
    <row r="124" spans="3:17" ht="12.75">
      <c r="C124" s="12" t="s">
        <v>264</v>
      </c>
      <c r="M124" s="20"/>
      <c r="O124" s="21"/>
      <c r="Q124" s="20"/>
    </row>
    <row r="125" spans="3:17" ht="12.75">
      <c r="C125" s="12" t="s">
        <v>265</v>
      </c>
      <c r="M125" s="20"/>
      <c r="O125" s="21"/>
      <c r="Q125" s="20"/>
    </row>
    <row r="126" spans="3:17" ht="12.75">
      <c r="C126" s="12" t="s">
        <v>266</v>
      </c>
      <c r="M126" s="20"/>
      <c r="O126" s="21"/>
      <c r="Q126" s="20"/>
    </row>
    <row r="127" spans="3:17" ht="12.75">
      <c r="C127" s="12" t="s">
        <v>267</v>
      </c>
      <c r="M127" s="20"/>
      <c r="O127" s="21"/>
      <c r="Q127" s="20"/>
    </row>
    <row r="128" spans="3:17" ht="12.75">
      <c r="C128" s="12" t="s">
        <v>268</v>
      </c>
      <c r="M128" s="20"/>
      <c r="O128" s="21"/>
      <c r="Q128" s="20"/>
    </row>
    <row r="129" spans="3:17" ht="12.75">
      <c r="C129" s="12" t="s">
        <v>269</v>
      </c>
      <c r="M129" s="20"/>
      <c r="O129" s="21"/>
      <c r="Q129" s="20"/>
    </row>
    <row r="130" spans="3:17" ht="12.75">
      <c r="C130" s="9" t="s">
        <v>270</v>
      </c>
      <c r="M130" s="20"/>
      <c r="O130" s="21"/>
      <c r="Q130" s="20"/>
    </row>
    <row r="131" spans="3:17" ht="12.75">
      <c r="C131" s="12" t="s">
        <v>271</v>
      </c>
      <c r="M131" s="20"/>
      <c r="O131" s="21"/>
      <c r="Q131" s="20"/>
    </row>
    <row r="132" spans="3:17" ht="12.75">
      <c r="C132" s="12" t="s">
        <v>448</v>
      </c>
      <c r="M132" s="20"/>
      <c r="O132" s="21"/>
      <c r="Q132" s="20"/>
    </row>
    <row r="133" spans="3:17" ht="12.75">
      <c r="C133" s="12"/>
      <c r="M133" s="20"/>
      <c r="O133" s="21"/>
      <c r="Q133" s="20"/>
    </row>
    <row r="134" spans="3:17" ht="12.75">
      <c r="C134" s="9" t="s">
        <v>272</v>
      </c>
      <c r="M134" s="20"/>
      <c r="O134" s="21"/>
      <c r="Q134" s="20"/>
    </row>
    <row r="135" spans="3:17" ht="12.75">
      <c r="C135" s="12" t="s">
        <v>273</v>
      </c>
      <c r="M135" s="20"/>
      <c r="O135" s="21"/>
      <c r="Q135" s="20"/>
    </row>
    <row r="136" spans="3:17" ht="12.75">
      <c r="C136" s="12"/>
      <c r="M136" s="20"/>
      <c r="O136" s="21"/>
      <c r="Q136" s="20"/>
    </row>
    <row r="137" spans="3:17" ht="12.75">
      <c r="C137" s="9" t="s">
        <v>274</v>
      </c>
      <c r="M137" s="20"/>
      <c r="O137" s="21"/>
      <c r="Q137" s="20"/>
    </row>
    <row r="138" spans="3:17" ht="12.75">
      <c r="C138" s="12" t="s">
        <v>275</v>
      </c>
      <c r="M138" s="20"/>
      <c r="O138" s="21"/>
      <c r="Q138" s="20"/>
    </row>
    <row r="139" spans="3:17" ht="12.75">
      <c r="C139" s="12"/>
      <c r="M139" s="20"/>
      <c r="O139" s="21"/>
      <c r="Q139" s="20"/>
    </row>
    <row r="140" spans="3:17" ht="12.75">
      <c r="C140" s="9" t="s">
        <v>276</v>
      </c>
      <c r="M140" s="20"/>
      <c r="O140" s="21"/>
      <c r="Q140" s="20"/>
    </row>
    <row r="141" spans="3:17" ht="12.75">
      <c r="C141" s="12" t="s">
        <v>277</v>
      </c>
      <c r="M141" s="20"/>
      <c r="O141" s="21"/>
      <c r="Q141" s="20"/>
    </row>
    <row r="142" spans="3:17" ht="12.75">
      <c r="C142" s="12"/>
      <c r="M142" s="20"/>
      <c r="O142" s="21"/>
      <c r="Q142" s="20"/>
    </row>
    <row r="143" spans="3:17" ht="12.75">
      <c r="C143" s="9" t="s">
        <v>278</v>
      </c>
      <c r="M143" s="20"/>
      <c r="O143" s="21"/>
      <c r="Q143" s="20"/>
    </row>
    <row r="144" spans="3:17" ht="12.75">
      <c r="C144" s="12" t="s">
        <v>279</v>
      </c>
      <c r="M144" s="20"/>
      <c r="O144" s="21"/>
      <c r="Q144" s="20"/>
    </row>
    <row r="145" spans="3:17" ht="12.75">
      <c r="C145" s="12" t="s">
        <v>280</v>
      </c>
      <c r="M145" s="20"/>
      <c r="O145" s="21"/>
      <c r="Q145" s="20"/>
    </row>
    <row r="146" spans="3:17" ht="12.75">
      <c r="C146" s="12" t="s">
        <v>281</v>
      </c>
      <c r="M146" s="20"/>
      <c r="O146" s="21"/>
      <c r="Q146" s="20"/>
    </row>
    <row r="147" spans="3:17" ht="12.75">
      <c r="C147" s="12" t="s">
        <v>282</v>
      </c>
      <c r="M147" s="20"/>
      <c r="O147" s="21"/>
      <c r="Q147" s="20"/>
    </row>
    <row r="148" spans="3:17" ht="12.75">
      <c r="C148" s="12" t="s">
        <v>283</v>
      </c>
      <c r="M148" s="20"/>
      <c r="O148" s="21"/>
      <c r="Q148" s="20"/>
    </row>
    <row r="149" spans="13:17" ht="12.75">
      <c r="M149" s="20"/>
      <c r="O149" s="21"/>
      <c r="Q149" s="20"/>
    </row>
    <row r="150" spans="3:17" ht="12.75">
      <c r="C150" s="9" t="s">
        <v>284</v>
      </c>
      <c r="M150" s="20"/>
      <c r="O150" s="21"/>
      <c r="Q150" s="20"/>
    </row>
    <row r="151" spans="3:17" ht="12.75">
      <c r="C151" s="12" t="s">
        <v>285</v>
      </c>
      <c r="M151" s="20"/>
      <c r="O151" s="21"/>
      <c r="Q151" s="20"/>
    </row>
    <row r="152" spans="3:17" ht="12.75">
      <c r="C152" s="12" t="s">
        <v>286</v>
      </c>
      <c r="M152" s="20"/>
      <c r="O152" s="21"/>
      <c r="Q152" s="20"/>
    </row>
    <row r="153" spans="13:17" ht="12.75">
      <c r="M153" s="20"/>
      <c r="O153" s="21"/>
      <c r="Q153" s="20"/>
    </row>
    <row r="154" spans="3:17" ht="12.75">
      <c r="C154" s="9" t="s">
        <v>287</v>
      </c>
      <c r="M154" s="20"/>
      <c r="O154" s="21"/>
      <c r="Q154" s="20"/>
    </row>
    <row r="155" spans="3:17" ht="12.75">
      <c r="C155" s="12" t="s">
        <v>288</v>
      </c>
      <c r="M155" s="20"/>
      <c r="O155" s="21"/>
      <c r="Q155" s="20"/>
    </row>
    <row r="156" spans="3:17" ht="12.75">
      <c r="C156" s="12" t="s">
        <v>289</v>
      </c>
      <c r="M156" s="20"/>
      <c r="O156" s="21"/>
      <c r="Q156" s="20"/>
    </row>
    <row r="157" spans="3:17" ht="12.75">
      <c r="C157" s="12" t="s">
        <v>290</v>
      </c>
      <c r="M157" s="20"/>
      <c r="O157" s="21"/>
      <c r="Q157" s="20"/>
    </row>
    <row r="158" spans="3:17" ht="12.75">
      <c r="C158" s="12" t="s">
        <v>291</v>
      </c>
      <c r="M158" s="20"/>
      <c r="O158" s="21"/>
      <c r="Q158" s="20"/>
    </row>
    <row r="159" spans="3:17" ht="12.75">
      <c r="C159" s="12" t="s">
        <v>292</v>
      </c>
      <c r="M159" s="20"/>
      <c r="O159" s="21"/>
      <c r="Q159" s="20"/>
    </row>
    <row r="160" spans="3:17" ht="12.75">
      <c r="C160" s="12" t="s">
        <v>293</v>
      </c>
      <c r="M160" s="20"/>
      <c r="O160" s="21"/>
      <c r="Q160" s="20"/>
    </row>
    <row r="161" spans="3:17" ht="12.75">
      <c r="C161" s="12" t="s">
        <v>294</v>
      </c>
      <c r="M161" s="20"/>
      <c r="O161" s="21"/>
      <c r="Q161" s="20"/>
    </row>
    <row r="162" spans="13:17" ht="12.75">
      <c r="M162" s="20"/>
      <c r="O162" s="21"/>
      <c r="Q162" s="20"/>
    </row>
    <row r="163" spans="3:17" ht="12.75">
      <c r="C163" s="9" t="s">
        <v>571</v>
      </c>
      <c r="M163" s="20"/>
      <c r="O163" s="21"/>
      <c r="Q163" s="20"/>
    </row>
    <row r="164" spans="3:17" ht="12.75">
      <c r="C164" s="12" t="s">
        <v>295</v>
      </c>
      <c r="M164" s="20"/>
      <c r="O164" s="21"/>
      <c r="Q164" s="20"/>
    </row>
    <row r="165" spans="3:17" ht="12.75">
      <c r="C165" s="12" t="s">
        <v>296</v>
      </c>
      <c r="M165" s="20"/>
      <c r="O165" s="21"/>
      <c r="Q165" s="20"/>
    </row>
    <row r="166" spans="3:17" ht="12.75">
      <c r="C166" s="12" t="s">
        <v>297</v>
      </c>
      <c r="M166" s="20"/>
      <c r="O166" s="21"/>
      <c r="Q166" s="20"/>
    </row>
    <row r="167" spans="3:17" ht="12.75">
      <c r="C167" s="12" t="s">
        <v>298</v>
      </c>
      <c r="M167" s="20"/>
      <c r="O167" s="21"/>
      <c r="Q167" s="20"/>
    </row>
    <row r="168" spans="3:17" ht="12.75">
      <c r="C168" s="12" t="s">
        <v>737</v>
      </c>
      <c r="M168" s="20"/>
      <c r="O168" s="21"/>
      <c r="Q168" s="20"/>
    </row>
    <row r="169" spans="3:17" ht="12.75">
      <c r="C169" s="12" t="s">
        <v>738</v>
      </c>
      <c r="M169" s="20"/>
      <c r="O169" s="21"/>
      <c r="Q169" s="20"/>
    </row>
    <row r="170" spans="13:17" ht="12.75">
      <c r="M170" s="20"/>
      <c r="O170" s="21"/>
      <c r="Q170" s="20"/>
    </row>
    <row r="171" spans="3:17" ht="12.75">
      <c r="C171" s="9" t="s">
        <v>503</v>
      </c>
      <c r="M171" s="20"/>
      <c r="O171" s="21"/>
      <c r="Q171" s="20"/>
    </row>
    <row r="172" spans="3:17" ht="12.75">
      <c r="C172" s="12" t="s">
        <v>504</v>
      </c>
      <c r="M172" s="20"/>
      <c r="O172" s="21"/>
      <c r="Q172" s="20"/>
    </row>
    <row r="173" spans="3:17" ht="12.75">
      <c r="C173" s="12" t="s">
        <v>505</v>
      </c>
      <c r="M173" s="20"/>
      <c r="O173" s="21"/>
      <c r="Q173" s="20"/>
    </row>
    <row r="174" spans="3:17" ht="12.75">
      <c r="C174" s="12" t="s">
        <v>506</v>
      </c>
      <c r="M174" s="20"/>
      <c r="O174" s="21"/>
      <c r="Q174" s="20"/>
    </row>
    <row r="175" spans="3:17" ht="12.75">
      <c r="C175" s="12"/>
      <c r="M175" s="20"/>
      <c r="O175" s="21"/>
      <c r="Q175" s="20"/>
    </row>
    <row r="176" spans="3:17" ht="12.75">
      <c r="C176" s="9" t="s">
        <v>507</v>
      </c>
      <c r="M176" s="20"/>
      <c r="O176" s="21"/>
      <c r="Q176" s="20"/>
    </row>
    <row r="177" spans="3:17" ht="12.75">
      <c r="C177" s="12" t="s">
        <v>508</v>
      </c>
      <c r="M177" s="20"/>
      <c r="O177" s="21"/>
      <c r="Q177" s="20"/>
    </row>
    <row r="178" spans="3:17" ht="12.75">
      <c r="C178" s="12" t="s">
        <v>509</v>
      </c>
      <c r="M178" s="20"/>
      <c r="O178" s="21"/>
      <c r="Q178" s="20"/>
    </row>
    <row r="179" spans="3:17" ht="12.75">
      <c r="C179" s="12"/>
      <c r="M179" s="20"/>
      <c r="O179" s="21"/>
      <c r="Q179" s="20"/>
    </row>
    <row r="180" spans="3:17" ht="12.75">
      <c r="C180" s="9" t="s">
        <v>510</v>
      </c>
      <c r="M180" s="20"/>
      <c r="O180" s="21"/>
      <c r="Q180" s="20"/>
    </row>
    <row r="181" spans="3:17" ht="12.75">
      <c r="C181" s="12" t="s">
        <v>511</v>
      </c>
      <c r="M181" s="20"/>
      <c r="O181" s="21"/>
      <c r="Q181" s="20"/>
    </row>
    <row r="182" spans="3:17" ht="12.75">
      <c r="C182" s="12" t="s">
        <v>668</v>
      </c>
      <c r="M182" s="20"/>
      <c r="O182" s="21"/>
      <c r="Q182" s="20"/>
    </row>
    <row r="183" spans="3:17" ht="12.75">
      <c r="C183" s="12"/>
      <c r="M183" s="20"/>
      <c r="O183" s="21"/>
      <c r="Q183" s="20"/>
    </row>
    <row r="184" spans="3:17" ht="12.75">
      <c r="C184" s="9" t="s">
        <v>512</v>
      </c>
      <c r="M184" s="20"/>
      <c r="O184" s="21"/>
      <c r="Q184" s="20"/>
    </row>
    <row r="185" spans="3:17" ht="12.75">
      <c r="C185" s="12" t="s">
        <v>513</v>
      </c>
      <c r="M185" s="20"/>
      <c r="O185" s="21"/>
      <c r="Q185" s="20"/>
    </row>
    <row r="186" spans="3:17" ht="12.75">
      <c r="C186" s="12" t="s">
        <v>443</v>
      </c>
      <c r="M186" s="20"/>
      <c r="O186" s="21"/>
      <c r="Q186" s="20"/>
    </row>
    <row r="187" spans="13:17" ht="12.75">
      <c r="M187" s="20"/>
      <c r="O187" s="21"/>
      <c r="Q187" s="20"/>
    </row>
    <row r="188" spans="1:23" ht="12.75">
      <c r="A188" s="8"/>
      <c r="C188" s="9" t="s">
        <v>514</v>
      </c>
      <c r="D188" s="8"/>
      <c r="E188" s="8"/>
      <c r="F188" s="8"/>
      <c r="G188" s="8"/>
      <c r="H188" s="8"/>
      <c r="I188" s="8"/>
      <c r="J188" s="8"/>
      <c r="K188" s="8"/>
      <c r="L188" s="8"/>
      <c r="M188" s="20"/>
      <c r="N188" s="8"/>
      <c r="O188" s="21"/>
      <c r="P188" s="8"/>
      <c r="Q188" s="20"/>
      <c r="R188" s="8"/>
      <c r="S188" s="8"/>
      <c r="T188" s="8"/>
      <c r="U188" s="8"/>
      <c r="V188" s="8"/>
      <c r="W188" s="8"/>
    </row>
    <row r="189" spans="3:17" ht="12.75">
      <c r="C189" s="12" t="s">
        <v>515</v>
      </c>
      <c r="M189" s="20"/>
      <c r="O189" s="21"/>
      <c r="Q189" s="20"/>
    </row>
    <row r="190" spans="3:17" ht="12.75">
      <c r="C190" s="12" t="s">
        <v>516</v>
      </c>
      <c r="M190" s="20"/>
      <c r="O190" s="21"/>
      <c r="Q190" s="20"/>
    </row>
    <row r="191" spans="3:17" ht="12.75">
      <c r="C191" s="12" t="s">
        <v>517</v>
      </c>
      <c r="M191" s="20"/>
      <c r="O191" s="21"/>
      <c r="Q191" s="20"/>
    </row>
    <row r="192" spans="3:17" ht="12.75">
      <c r="C192" s="12" t="s">
        <v>518</v>
      </c>
      <c r="M192" s="20"/>
      <c r="O192" s="21"/>
      <c r="Q192" s="20"/>
    </row>
    <row r="193" spans="13:17" ht="12.75">
      <c r="M193" s="20"/>
      <c r="O193" s="21"/>
      <c r="Q193" s="20"/>
    </row>
    <row r="194" spans="3:17" ht="12.75">
      <c r="C194" s="9" t="s">
        <v>519</v>
      </c>
      <c r="M194" s="20"/>
      <c r="O194" s="21"/>
      <c r="Q194" s="20"/>
    </row>
    <row r="195" spans="3:17" ht="12.75">
      <c r="C195" s="12" t="s">
        <v>520</v>
      </c>
      <c r="M195" s="20"/>
      <c r="O195" s="21"/>
      <c r="Q195" s="20"/>
    </row>
    <row r="196" spans="3:17" ht="12.75">
      <c r="C196" s="12" t="s">
        <v>521</v>
      </c>
      <c r="M196" s="20"/>
      <c r="O196" s="21"/>
      <c r="Q196" s="20"/>
    </row>
    <row r="197" spans="3:17" ht="12.75">
      <c r="C197" s="9" t="s">
        <v>522</v>
      </c>
      <c r="M197" s="20"/>
      <c r="O197" s="21"/>
      <c r="Q197" s="20"/>
    </row>
    <row r="198" spans="3:17" ht="12.75">
      <c r="C198" s="12" t="s">
        <v>669</v>
      </c>
      <c r="M198" s="20"/>
      <c r="O198" s="21"/>
      <c r="Q198" s="20"/>
    </row>
    <row r="199" spans="3:17" ht="12.75">
      <c r="C199" s="12" t="s">
        <v>523</v>
      </c>
      <c r="M199" s="20"/>
      <c r="O199" s="21"/>
      <c r="Q199" s="20"/>
    </row>
    <row r="200" spans="3:17" ht="12.75">
      <c r="C200" s="12" t="s">
        <v>524</v>
      </c>
      <c r="M200" s="20"/>
      <c r="O200" s="21"/>
      <c r="Q200" s="20"/>
    </row>
    <row r="201" spans="3:17" ht="12.75">
      <c r="C201" s="12" t="s">
        <v>621</v>
      </c>
      <c r="M201" s="20"/>
      <c r="O201" s="21"/>
      <c r="Q201" s="20"/>
    </row>
    <row r="202" spans="3:17" ht="12.75">
      <c r="C202" s="12" t="s">
        <v>622</v>
      </c>
      <c r="M202" s="20"/>
      <c r="O202" s="21"/>
      <c r="Q202" s="20"/>
    </row>
    <row r="203" spans="3:17" ht="12.75">
      <c r="C203" s="12"/>
      <c r="M203" s="20"/>
      <c r="O203" s="21"/>
      <c r="Q203" s="20"/>
    </row>
    <row r="204" spans="3:17" ht="12.75">
      <c r="C204" s="12" t="s">
        <v>623</v>
      </c>
      <c r="M204" s="20"/>
      <c r="O204" s="21"/>
      <c r="Q204" s="20"/>
    </row>
    <row r="205" spans="3:17" ht="12.75">
      <c r="C205" s="12" t="s">
        <v>624</v>
      </c>
      <c r="G205" s="22" t="s">
        <v>316</v>
      </c>
      <c r="M205" s="20"/>
      <c r="O205" s="21"/>
      <c r="Q205" s="20"/>
    </row>
    <row r="206" spans="3:17" ht="12.75">
      <c r="C206" s="12" t="s">
        <v>625</v>
      </c>
      <c r="G206" s="22" t="s">
        <v>317</v>
      </c>
      <c r="M206" s="20"/>
      <c r="O206" s="21"/>
      <c r="Q206" s="20"/>
    </row>
    <row r="207" spans="3:17" ht="12.75">
      <c r="C207" s="12"/>
      <c r="M207" s="20"/>
      <c r="O207" s="21"/>
      <c r="Q207" s="20"/>
    </row>
    <row r="208" spans="3:17" ht="12.75">
      <c r="C208" s="12" t="s">
        <v>626</v>
      </c>
      <c r="M208" s="20"/>
      <c r="O208" s="21"/>
      <c r="Q208" s="20"/>
    </row>
    <row r="209" spans="3:17" ht="12.75">
      <c r="C209" s="12"/>
      <c r="M209" s="20"/>
      <c r="O209" s="21"/>
      <c r="Q209" s="20"/>
    </row>
    <row r="210" spans="3:17" ht="12.75">
      <c r="C210" s="9" t="s">
        <v>627</v>
      </c>
      <c r="M210" s="20"/>
      <c r="O210" s="21"/>
      <c r="Q210" s="20"/>
    </row>
    <row r="211" spans="3:17" ht="12.75">
      <c r="C211" s="12" t="s">
        <v>628</v>
      </c>
      <c r="M211" s="20"/>
      <c r="O211" s="21"/>
      <c r="Q211" s="20"/>
    </row>
    <row r="212" spans="3:17" ht="12.75">
      <c r="C212" s="12" t="s">
        <v>629</v>
      </c>
      <c r="M212" s="20"/>
      <c r="O212" s="21"/>
      <c r="Q212" s="20"/>
    </row>
    <row r="213" spans="3:17" ht="12.75">
      <c r="C213" s="12" t="s">
        <v>630</v>
      </c>
      <c r="M213" s="20"/>
      <c r="O213" s="21"/>
      <c r="Q213" s="20"/>
    </row>
    <row r="214" spans="3:17" ht="12.75">
      <c r="C214" s="12" t="s">
        <v>631</v>
      </c>
      <c r="M214" s="20"/>
      <c r="O214" s="21"/>
      <c r="Q214" s="20"/>
    </row>
    <row r="215" spans="3:17" ht="12.75">
      <c r="C215" s="12" t="s">
        <v>632</v>
      </c>
      <c r="M215" s="20"/>
      <c r="O215" s="21"/>
      <c r="Q215" s="20"/>
    </row>
    <row r="216" spans="3:17" ht="12.75">
      <c r="C216" s="12" t="s">
        <v>633</v>
      </c>
      <c r="M216" s="20"/>
      <c r="O216" s="21"/>
      <c r="Q216" s="20"/>
    </row>
    <row r="217" spans="3:17" ht="12.75">
      <c r="C217" s="12" t="s">
        <v>634</v>
      </c>
      <c r="M217" s="20"/>
      <c r="O217" s="21"/>
      <c r="Q217" s="20"/>
    </row>
    <row r="218" spans="3:17" ht="12.75">
      <c r="C218" s="12"/>
      <c r="M218" s="20"/>
      <c r="O218" s="21"/>
      <c r="Q218" s="20"/>
    </row>
    <row r="219" spans="3:17" ht="12.75">
      <c r="C219" s="9" t="s">
        <v>635</v>
      </c>
      <c r="M219" s="20"/>
      <c r="O219" s="21"/>
      <c r="Q219" s="20"/>
    </row>
    <row r="220" spans="3:17" ht="12.75">
      <c r="C220" s="12" t="s">
        <v>636</v>
      </c>
      <c r="M220" s="20"/>
      <c r="O220" s="21"/>
      <c r="Q220" s="20"/>
    </row>
    <row r="221" spans="3:17" ht="12.75">
      <c r="C221" s="12" t="s">
        <v>637</v>
      </c>
      <c r="M221" s="20"/>
      <c r="O221" s="21"/>
      <c r="Q221" s="20"/>
    </row>
    <row r="222" spans="3:17" ht="12.75">
      <c r="C222" s="12"/>
      <c r="M222" s="20"/>
      <c r="O222" s="21"/>
      <c r="Q222" s="20"/>
    </row>
    <row r="223" spans="3:17" ht="12.75">
      <c r="C223" s="9" t="s">
        <v>638</v>
      </c>
      <c r="M223" s="20"/>
      <c r="O223" s="21"/>
      <c r="Q223" s="20"/>
    </row>
    <row r="224" spans="3:17" ht="12.75">
      <c r="C224" s="12" t="s">
        <v>639</v>
      </c>
      <c r="M224" s="20"/>
      <c r="O224" s="21"/>
      <c r="Q224" s="20"/>
    </row>
    <row r="225" spans="3:17" ht="12.75">
      <c r="C225" s="12"/>
      <c r="M225" s="20"/>
      <c r="O225" s="21"/>
      <c r="Q225" s="20"/>
    </row>
    <row r="226" spans="3:17" ht="12.75">
      <c r="C226" s="9" t="s">
        <v>640</v>
      </c>
      <c r="M226" s="20"/>
      <c r="O226" s="21"/>
      <c r="Q226" s="20"/>
    </row>
    <row r="227" spans="3:17" ht="12.75">
      <c r="C227" s="12" t="s">
        <v>641</v>
      </c>
      <c r="M227" s="20"/>
      <c r="O227" s="21"/>
      <c r="Q227" s="20"/>
    </row>
    <row r="228" spans="3:17" ht="12.75">
      <c r="C228" s="12"/>
      <c r="M228" s="20"/>
      <c r="O228" s="21"/>
      <c r="Q228" s="20"/>
    </row>
    <row r="229" spans="3:17" ht="12.75">
      <c r="C229" s="9" t="s">
        <v>642</v>
      </c>
      <c r="M229" s="20"/>
      <c r="O229" s="21"/>
      <c r="Q229" s="20"/>
    </row>
    <row r="230" spans="3:17" ht="12.75">
      <c r="C230" s="12" t="s">
        <v>643</v>
      </c>
      <c r="M230" s="20"/>
      <c r="O230" s="21"/>
      <c r="Q230" s="20"/>
    </row>
    <row r="231" spans="13:17" ht="12.75">
      <c r="M231" s="20"/>
      <c r="O231" s="21"/>
      <c r="Q231" s="20"/>
    </row>
    <row r="232" spans="3:17" ht="12.75">
      <c r="C232" s="9" t="s">
        <v>644</v>
      </c>
      <c r="M232" s="20"/>
      <c r="O232" s="21"/>
      <c r="Q232" s="20"/>
    </row>
    <row r="233" spans="3:17" ht="12.75">
      <c r="C233" s="12" t="s">
        <v>645</v>
      </c>
      <c r="M233" s="20"/>
      <c r="O233" s="21"/>
      <c r="Q233" s="20"/>
    </row>
    <row r="234" spans="3:17" ht="12.75">
      <c r="C234" s="12" t="s">
        <v>646</v>
      </c>
      <c r="M234" s="20"/>
      <c r="O234" s="21"/>
      <c r="Q234" s="20"/>
    </row>
    <row r="235" spans="3:17" ht="12.75">
      <c r="C235" s="12" t="s">
        <v>647</v>
      </c>
      <c r="M235" s="20"/>
      <c r="O235" s="21"/>
      <c r="Q235" s="20"/>
    </row>
    <row r="236" spans="3:17" ht="12.75">
      <c r="C236" s="12" t="s">
        <v>648</v>
      </c>
      <c r="M236" s="20"/>
      <c r="O236" s="21"/>
      <c r="Q236" s="20"/>
    </row>
    <row r="237" spans="3:17" ht="12.75">
      <c r="C237" s="12" t="s">
        <v>649</v>
      </c>
      <c r="M237" s="20"/>
      <c r="O237" s="21"/>
      <c r="Q237" s="20"/>
    </row>
    <row r="238" spans="13:17" ht="12.75">
      <c r="M238" s="20"/>
      <c r="O238" s="21"/>
      <c r="Q238" s="20"/>
    </row>
    <row r="239" spans="3:17" ht="12.75">
      <c r="C239" s="9" t="s">
        <v>650</v>
      </c>
      <c r="M239" s="20"/>
      <c r="O239" s="21"/>
      <c r="Q239" s="20"/>
    </row>
    <row r="240" spans="3:17" ht="12.75">
      <c r="C240" s="12" t="s">
        <v>651</v>
      </c>
      <c r="M240" s="20"/>
      <c r="O240" s="21"/>
      <c r="Q240" s="20"/>
    </row>
    <row r="241" spans="3:17" ht="12.75">
      <c r="C241" s="12" t="s">
        <v>652</v>
      </c>
      <c r="M241" s="20"/>
      <c r="O241" s="21"/>
      <c r="Q241" s="20"/>
    </row>
    <row r="242" spans="1:23" ht="15.75">
      <c r="A242" s="7" t="s">
        <v>541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23"/>
      <c r="N242" s="3"/>
      <c r="O242" s="24"/>
      <c r="P242" s="3"/>
      <c r="Q242" s="23"/>
      <c r="R242" s="3"/>
      <c r="S242" s="3"/>
      <c r="T242" s="8"/>
      <c r="U242" s="8"/>
      <c r="V242" s="8"/>
      <c r="W242" s="8"/>
    </row>
    <row r="243" spans="13:17" ht="12.75">
      <c r="M243" s="20"/>
      <c r="O243" s="21"/>
      <c r="Q243" s="20"/>
    </row>
    <row r="244" spans="13:17" ht="12.75">
      <c r="M244" s="20"/>
      <c r="O244" s="21"/>
      <c r="Q244" s="20"/>
    </row>
    <row r="245" spans="3:17" ht="12.75">
      <c r="C245" s="12" t="s">
        <v>148</v>
      </c>
      <c r="M245" s="20"/>
      <c r="O245" s="21"/>
      <c r="Q245" s="20"/>
    </row>
    <row r="246" spans="3:17" ht="12.75">
      <c r="C246" s="12" t="s">
        <v>653</v>
      </c>
      <c r="M246" s="20"/>
      <c r="O246" s="21"/>
      <c r="Q246" s="20"/>
    </row>
    <row r="247" spans="13:17" ht="12.75">
      <c r="M247" s="20"/>
      <c r="O247" s="21"/>
      <c r="Q247" s="20"/>
    </row>
    <row r="248" spans="3:17" ht="12.75">
      <c r="C248" s="12" t="s">
        <v>739</v>
      </c>
      <c r="M248" s="20"/>
      <c r="O248" s="21"/>
      <c r="Q248" s="20"/>
    </row>
    <row r="249" spans="13:17" ht="12.75">
      <c r="M249" s="20"/>
      <c r="O249" s="21"/>
      <c r="Q249" s="20"/>
    </row>
    <row r="250" spans="3:17" ht="12.75">
      <c r="C250" s="9" t="s">
        <v>654</v>
      </c>
      <c r="M250" s="20"/>
      <c r="O250" s="21"/>
      <c r="Q250" s="20"/>
    </row>
    <row r="251" spans="13:17" ht="12.75">
      <c r="M251" s="20"/>
      <c r="O251" s="21"/>
      <c r="Q251" s="20"/>
    </row>
    <row r="252" spans="13:17" ht="12.75">
      <c r="M252" s="20"/>
      <c r="O252" s="21"/>
      <c r="Q252" s="20"/>
    </row>
    <row r="253" spans="3:17" ht="12.75">
      <c r="C253" s="12" t="s">
        <v>262</v>
      </c>
      <c r="G253" s="12" t="s">
        <v>318</v>
      </c>
      <c r="K253" s="20" t="s">
        <v>327</v>
      </c>
      <c r="O253" s="21"/>
      <c r="Q253" s="20"/>
    </row>
    <row r="254" spans="3:17" ht="12.75">
      <c r="C254" s="12" t="s">
        <v>670</v>
      </c>
      <c r="M254" s="20"/>
      <c r="O254" s="21"/>
      <c r="Q254" s="20"/>
    </row>
    <row r="255" spans="13:17" ht="12.75">
      <c r="M255" s="20"/>
      <c r="O255" s="21"/>
      <c r="Q255" s="20"/>
    </row>
    <row r="256" spans="13:17" ht="12.75">
      <c r="M256" s="20"/>
      <c r="O256" s="21"/>
      <c r="Q256" s="20"/>
    </row>
    <row r="257" spans="13:17" ht="12.75">
      <c r="M257" s="20"/>
      <c r="O257" s="21"/>
      <c r="Q257" s="20"/>
    </row>
    <row r="258" spans="3:17" ht="12.75">
      <c r="C258" s="12" t="s">
        <v>655</v>
      </c>
      <c r="G258" s="20" t="s">
        <v>319</v>
      </c>
      <c r="O258" s="21"/>
      <c r="Q258" s="20"/>
    </row>
    <row r="259" spans="3:17" ht="12.75">
      <c r="C259" s="12"/>
      <c r="G259" s="20"/>
      <c r="O259" s="21"/>
      <c r="Q259" s="20"/>
    </row>
    <row r="260" spans="3:17" ht="12.75">
      <c r="C260" s="12"/>
      <c r="G260" s="20"/>
      <c r="O260" s="21"/>
      <c r="Q260" s="20"/>
    </row>
    <row r="261" spans="1:23" ht="12.75">
      <c r="A261" s="8"/>
      <c r="C261" s="12"/>
      <c r="D261" s="8"/>
      <c r="E261" s="8"/>
      <c r="F261" s="8"/>
      <c r="G261" s="20"/>
      <c r="H261" s="8"/>
      <c r="I261" s="8"/>
      <c r="J261" s="8"/>
      <c r="K261" s="8"/>
      <c r="L261" s="8"/>
      <c r="M261" s="8"/>
      <c r="N261" s="8"/>
      <c r="O261" s="21"/>
      <c r="P261" s="8"/>
      <c r="Q261" s="20"/>
      <c r="R261" s="8"/>
      <c r="S261" s="8"/>
      <c r="T261" s="8"/>
      <c r="U261" s="8"/>
      <c r="V261" s="8"/>
      <c r="W261" s="8"/>
    </row>
    <row r="262" spans="1:19" ht="15.75">
      <c r="A262" s="7" t="s">
        <v>542</v>
      </c>
      <c r="B262" s="3"/>
      <c r="C262" s="3"/>
      <c r="D262" s="7"/>
      <c r="E262" s="3"/>
      <c r="F262" s="3"/>
      <c r="G262" s="3"/>
      <c r="H262" s="3"/>
      <c r="I262" s="3"/>
      <c r="J262" s="3"/>
      <c r="K262" s="3"/>
      <c r="L262" s="3"/>
      <c r="M262" s="23"/>
      <c r="N262" s="3"/>
      <c r="O262" s="24"/>
      <c r="P262" s="3"/>
      <c r="Q262" s="23"/>
      <c r="R262" s="3"/>
      <c r="S262" s="3"/>
    </row>
    <row r="263" spans="13:17" ht="12.75">
      <c r="M263" s="20"/>
      <c r="O263" s="21"/>
      <c r="Q263" s="20"/>
    </row>
    <row r="264" spans="13:17" ht="12.75">
      <c r="M264" s="20"/>
      <c r="O264" s="21"/>
      <c r="Q264" s="20"/>
    </row>
    <row r="265" spans="3:17" ht="12.75">
      <c r="C265" s="12" t="s">
        <v>149</v>
      </c>
      <c r="M265" s="20"/>
      <c r="O265" s="21"/>
      <c r="Q265" s="20"/>
    </row>
    <row r="266" spans="13:17" ht="12.75">
      <c r="M266" s="20"/>
      <c r="O266" s="21"/>
      <c r="Q266" s="20"/>
    </row>
    <row r="267" spans="3:17" ht="12.75">
      <c r="C267" s="9" t="s">
        <v>656</v>
      </c>
      <c r="M267" s="20"/>
      <c r="O267" s="21"/>
      <c r="Q267" s="20"/>
    </row>
    <row r="268" spans="3:17" ht="12.75">
      <c r="C268" s="12" t="s">
        <v>671</v>
      </c>
      <c r="M268" s="20"/>
      <c r="O268" s="21"/>
      <c r="Q268" s="20"/>
    </row>
    <row r="269" spans="3:17" ht="12.75">
      <c r="C269" s="12" t="s">
        <v>672</v>
      </c>
      <c r="M269" s="20"/>
      <c r="O269" s="21"/>
      <c r="Q269" s="20"/>
    </row>
    <row r="270" spans="3:17" ht="12.75">
      <c r="C270" s="12" t="s">
        <v>673</v>
      </c>
      <c r="M270" s="20"/>
      <c r="O270" s="21"/>
      <c r="Q270" s="20"/>
    </row>
    <row r="271" spans="3:17" ht="12.75">
      <c r="C271" s="12" t="s">
        <v>675</v>
      </c>
      <c r="M271" s="20"/>
      <c r="O271" s="21"/>
      <c r="Q271" s="20"/>
    </row>
    <row r="272" spans="3:17" ht="12.75">
      <c r="C272" s="12" t="s">
        <v>674</v>
      </c>
      <c r="M272" s="20"/>
      <c r="O272" s="21"/>
      <c r="Q272" s="20"/>
    </row>
    <row r="273" spans="13:17" ht="12.75">
      <c r="M273" s="20"/>
      <c r="O273" s="21"/>
      <c r="Q273" s="20"/>
    </row>
    <row r="274" spans="3:17" ht="12.75">
      <c r="C274" s="12" t="s">
        <v>97</v>
      </c>
      <c r="M274" s="20"/>
      <c r="O274" s="21"/>
      <c r="Q274" s="20"/>
    </row>
    <row r="275" spans="13:17" ht="12.75">
      <c r="M275" s="20"/>
      <c r="O275" s="21"/>
      <c r="Q275" s="20"/>
    </row>
    <row r="276" spans="3:17" ht="12.75">
      <c r="C276" s="9" t="s">
        <v>98</v>
      </c>
      <c r="M276" s="20"/>
      <c r="O276" s="21"/>
      <c r="Q276" s="20"/>
    </row>
    <row r="277" spans="3:17" ht="12.75">
      <c r="C277" s="12" t="s">
        <v>99</v>
      </c>
      <c r="M277" s="20"/>
      <c r="O277" s="21"/>
      <c r="Q277" s="20"/>
    </row>
    <row r="278" spans="3:17" ht="12.75">
      <c r="C278" s="12" t="s">
        <v>100</v>
      </c>
      <c r="M278" s="20"/>
      <c r="O278" s="21"/>
      <c r="Q278" s="20"/>
    </row>
    <row r="279" spans="3:17" ht="12.75">
      <c r="C279" s="12" t="s">
        <v>101</v>
      </c>
      <c r="M279" s="20"/>
      <c r="O279" s="21"/>
      <c r="Q279" s="20"/>
    </row>
    <row r="280" spans="13:17" ht="12.75">
      <c r="M280" s="20"/>
      <c r="O280" s="21"/>
      <c r="Q280" s="20"/>
    </row>
    <row r="281" spans="3:17" ht="12.75">
      <c r="C281" s="12" t="s">
        <v>150</v>
      </c>
      <c r="M281" s="20"/>
      <c r="O281" s="21"/>
      <c r="Q281" s="20"/>
    </row>
    <row r="282" spans="13:17" ht="12.75">
      <c r="M282" s="20"/>
      <c r="O282" s="21"/>
      <c r="Q282" s="20"/>
    </row>
    <row r="283" spans="3:17" ht="12.75">
      <c r="C283" s="9" t="s">
        <v>102</v>
      </c>
      <c r="M283" s="20"/>
      <c r="O283" s="21"/>
      <c r="Q283" s="20"/>
    </row>
    <row r="284" spans="3:17" ht="12.75">
      <c r="C284" s="12" t="s">
        <v>103</v>
      </c>
      <c r="M284" s="20"/>
      <c r="O284" s="21"/>
      <c r="Q284" s="20"/>
    </row>
    <row r="285" spans="3:17" ht="12.75">
      <c r="C285" s="12" t="s">
        <v>104</v>
      </c>
      <c r="M285" s="20"/>
      <c r="O285" s="21"/>
      <c r="Q285" s="20"/>
    </row>
    <row r="286" spans="3:17" ht="12.75">
      <c r="C286" s="12" t="s">
        <v>105</v>
      </c>
      <c r="M286" s="20"/>
      <c r="O286" s="21"/>
      <c r="Q286" s="20"/>
    </row>
    <row r="287" spans="3:17" ht="12.75">
      <c r="C287" s="12" t="s">
        <v>106</v>
      </c>
      <c r="M287" s="20"/>
      <c r="O287" s="21"/>
      <c r="Q287" s="20"/>
    </row>
    <row r="288" spans="3:17" ht="12.75">
      <c r="C288" s="12" t="s">
        <v>107</v>
      </c>
      <c r="M288" s="20"/>
      <c r="O288" s="21"/>
      <c r="Q288" s="20"/>
    </row>
    <row r="289" spans="13:17" ht="12.75">
      <c r="M289" s="20"/>
      <c r="O289" s="21"/>
      <c r="Q289" s="20"/>
    </row>
    <row r="290" spans="3:17" ht="12.75">
      <c r="C290" s="12" t="s">
        <v>108</v>
      </c>
      <c r="M290" s="20"/>
      <c r="O290" s="21"/>
      <c r="Q290" s="20"/>
    </row>
    <row r="291" spans="13:17" ht="12.75">
      <c r="M291" s="20"/>
      <c r="O291" s="21"/>
      <c r="Q291" s="20"/>
    </row>
    <row r="292" spans="3:17" ht="12.75">
      <c r="C292" s="9" t="s">
        <v>109</v>
      </c>
      <c r="M292" s="20"/>
      <c r="O292" s="21"/>
      <c r="Q292" s="20"/>
    </row>
    <row r="293" spans="3:17" ht="12.75">
      <c r="C293" s="12" t="s">
        <v>110</v>
      </c>
      <c r="M293" s="20"/>
      <c r="O293" s="21"/>
      <c r="Q293" s="20"/>
    </row>
    <row r="294" spans="3:17" ht="12.75">
      <c r="C294" s="12" t="s">
        <v>111</v>
      </c>
      <c r="M294" s="20"/>
      <c r="O294" s="21"/>
      <c r="Q294" s="20"/>
    </row>
    <row r="295" spans="3:17" ht="12.75">
      <c r="C295" s="12" t="s">
        <v>610</v>
      </c>
      <c r="M295" s="20"/>
      <c r="O295" s="21"/>
      <c r="Q295" s="20"/>
    </row>
    <row r="296" spans="13:17" ht="12.75">
      <c r="M296" s="20"/>
      <c r="O296" s="21"/>
      <c r="Q296" s="20"/>
    </row>
    <row r="297" spans="3:17" ht="12.75">
      <c r="C297" s="12" t="s">
        <v>739</v>
      </c>
      <c r="M297" s="20"/>
      <c r="O297" s="21"/>
      <c r="Q297" s="20"/>
    </row>
    <row r="298" spans="13:17" ht="12.75">
      <c r="M298" s="20"/>
      <c r="O298" s="21"/>
      <c r="Q298" s="20"/>
    </row>
    <row r="299" spans="3:23" ht="12.75">
      <c r="C299" s="25" t="s">
        <v>52</v>
      </c>
      <c r="D299" s="3"/>
      <c r="E299" s="3"/>
      <c r="F299" s="3"/>
      <c r="G299" s="3"/>
      <c r="H299" s="3"/>
      <c r="K299" s="25" t="s">
        <v>328</v>
      </c>
      <c r="L299" s="3"/>
      <c r="M299" s="3"/>
      <c r="N299" s="3"/>
      <c r="O299" s="24"/>
      <c r="P299" s="3"/>
      <c r="Q299" s="23"/>
      <c r="R299" s="3"/>
      <c r="S299" s="3"/>
      <c r="W299" s="26"/>
    </row>
    <row r="300" spans="3:23" ht="12.75">
      <c r="C300" s="3" t="s">
        <v>112</v>
      </c>
      <c r="D300" s="3"/>
      <c r="E300" s="3"/>
      <c r="F300" s="3"/>
      <c r="G300" s="27"/>
      <c r="H300" s="27"/>
      <c r="K300" s="3" t="s">
        <v>329</v>
      </c>
      <c r="L300" s="3"/>
      <c r="M300" s="3"/>
      <c r="N300" s="3"/>
      <c r="O300" s="24"/>
      <c r="P300" s="3"/>
      <c r="Q300" s="23"/>
      <c r="R300" s="3"/>
      <c r="S300" s="3"/>
      <c r="W300" s="26"/>
    </row>
    <row r="301" spans="3:23" ht="12.75">
      <c r="C301" s="3"/>
      <c r="D301" s="3"/>
      <c r="E301" s="3"/>
      <c r="F301" s="3"/>
      <c r="G301" s="27"/>
      <c r="H301" s="27"/>
      <c r="K301" s="3"/>
      <c r="L301" s="3"/>
      <c r="M301" s="3"/>
      <c r="N301" s="3"/>
      <c r="O301" s="24"/>
      <c r="P301" s="3"/>
      <c r="Q301" s="23"/>
      <c r="R301" s="3"/>
      <c r="S301" s="3"/>
      <c r="W301" s="26"/>
    </row>
    <row r="302" spans="3:23" ht="12.75">
      <c r="C302" s="3"/>
      <c r="D302" s="3"/>
      <c r="E302" s="3"/>
      <c r="F302" s="3"/>
      <c r="G302" s="27"/>
      <c r="H302" s="27"/>
      <c r="K302" s="3"/>
      <c r="L302" s="3"/>
      <c r="M302" s="3"/>
      <c r="N302" s="3"/>
      <c r="O302" s="24"/>
      <c r="P302" s="3"/>
      <c r="Q302" s="23"/>
      <c r="R302" s="3"/>
      <c r="S302" s="3"/>
      <c r="W302" s="26"/>
    </row>
    <row r="303" spans="3:17" ht="12.75">
      <c r="C303" s="3"/>
      <c r="D303" s="3"/>
      <c r="E303" s="3"/>
      <c r="F303" s="3"/>
      <c r="O303" s="21"/>
      <c r="Q303" s="20"/>
    </row>
    <row r="304" spans="3:19" ht="12.75">
      <c r="C304" s="3" t="s">
        <v>113</v>
      </c>
      <c r="D304" s="3"/>
      <c r="E304" s="3"/>
      <c r="F304" s="3"/>
      <c r="G304" s="3"/>
      <c r="H304" s="3"/>
      <c r="K304" s="3" t="s">
        <v>848</v>
      </c>
      <c r="L304" s="3"/>
      <c r="M304" s="3"/>
      <c r="N304" s="3"/>
      <c r="O304" s="24"/>
      <c r="P304" s="3"/>
      <c r="Q304" s="23"/>
      <c r="R304" s="3"/>
      <c r="S304" s="3"/>
    </row>
    <row r="305" spans="3:19" ht="12.75">
      <c r="C305" s="3" t="s">
        <v>846</v>
      </c>
      <c r="D305" s="3"/>
      <c r="E305" s="3"/>
      <c r="F305" s="3"/>
      <c r="G305" s="3"/>
      <c r="H305" s="3"/>
      <c r="K305" s="3" t="s">
        <v>847</v>
      </c>
      <c r="L305" s="3"/>
      <c r="M305" s="3"/>
      <c r="N305" s="3"/>
      <c r="O305" s="24"/>
      <c r="P305" s="3"/>
      <c r="Q305" s="23"/>
      <c r="R305" s="3"/>
      <c r="S305" s="3"/>
    </row>
    <row r="306" spans="3:17" ht="12.75">
      <c r="C306" s="3"/>
      <c r="D306" s="3"/>
      <c r="E306" s="3"/>
      <c r="K306" s="12"/>
      <c r="O306" s="21"/>
      <c r="Q306" s="20"/>
    </row>
    <row r="307" spans="1:23" ht="15.75">
      <c r="A307" s="7" t="s">
        <v>543</v>
      </c>
      <c r="B307" s="3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3"/>
      <c r="P307" s="3"/>
      <c r="Q307" s="3"/>
      <c r="R307" s="3"/>
      <c r="S307" s="3"/>
      <c r="T307" s="8"/>
      <c r="U307" s="8"/>
      <c r="V307" s="8"/>
      <c r="W307" s="8"/>
    </row>
    <row r="309" spans="13:17" ht="12.75">
      <c r="M309" s="28"/>
      <c r="Q309" s="28"/>
    </row>
    <row r="310" spans="13:19" ht="12.75">
      <c r="M310" s="29" t="s">
        <v>330</v>
      </c>
      <c r="N310" s="3"/>
      <c r="O310" s="3"/>
      <c r="Q310" s="29" t="s">
        <v>356</v>
      </c>
      <c r="R310" s="3"/>
      <c r="S310" s="3"/>
    </row>
    <row r="311" spans="13:19" ht="12.75">
      <c r="M311" s="28"/>
      <c r="Q311" s="29" t="s">
        <v>357</v>
      </c>
      <c r="R311" s="3"/>
      <c r="S311" s="3"/>
    </row>
    <row r="312" spans="3:19" ht="12.75">
      <c r="C312" s="12" t="s">
        <v>114</v>
      </c>
      <c r="M312" s="30">
        <v>2004</v>
      </c>
      <c r="O312" s="31">
        <v>2003</v>
      </c>
      <c r="Q312" s="30">
        <v>2004</v>
      </c>
      <c r="S312" s="31">
        <v>2003</v>
      </c>
    </row>
    <row r="313" spans="13:19" ht="12.75">
      <c r="M313" s="28"/>
      <c r="Q313" s="28"/>
      <c r="R313" s="8"/>
      <c r="S313" s="8"/>
    </row>
    <row r="314" spans="2:19" ht="12.75">
      <c r="B314" s="32">
        <v>5</v>
      </c>
      <c r="C314" s="12" t="s">
        <v>115</v>
      </c>
      <c r="D314" s="9"/>
      <c r="E314" s="9"/>
      <c r="F314" s="9"/>
      <c r="G314" s="9"/>
      <c r="H314" s="9"/>
      <c r="I314" s="33"/>
      <c r="J314" s="33"/>
      <c r="K314" s="33"/>
      <c r="L314" s="33" t="s">
        <v>320</v>
      </c>
      <c r="M314" s="28">
        <v>292786.05103</v>
      </c>
      <c r="N314" s="9"/>
      <c r="O314" s="8">
        <v>309770.7702</v>
      </c>
      <c r="Q314" s="28">
        <v>736.0409</v>
      </c>
      <c r="R314" s="8"/>
      <c r="S314" s="8">
        <v>954.84129</v>
      </c>
    </row>
    <row r="315" spans="4:19" ht="12.75">
      <c r="D315" s="9"/>
      <c r="E315" s="9"/>
      <c r="F315" s="9"/>
      <c r="G315" s="9"/>
      <c r="H315" s="9"/>
      <c r="I315" s="9"/>
      <c r="J315" s="9"/>
      <c r="M315" s="28"/>
      <c r="N315" s="9"/>
      <c r="O315" s="8"/>
      <c r="Q315" s="28"/>
      <c r="R315" s="8"/>
      <c r="S315" s="8"/>
    </row>
    <row r="316" spans="2:19" ht="12.75">
      <c r="B316" s="32">
        <v>6</v>
      </c>
      <c r="C316" s="12" t="s">
        <v>116</v>
      </c>
      <c r="H316" s="33"/>
      <c r="I316" s="33"/>
      <c r="J316" s="33"/>
      <c r="K316" s="33"/>
      <c r="L316" s="33" t="s">
        <v>320</v>
      </c>
      <c r="M316" s="28">
        <v>57488.15724</v>
      </c>
      <c r="N316" s="8"/>
      <c r="O316" s="12">
        <v>62671.23381</v>
      </c>
      <c r="P316" s="8"/>
      <c r="Q316" s="28">
        <v>0</v>
      </c>
      <c r="R316" s="8"/>
      <c r="S316" s="12">
        <v>0.13688</v>
      </c>
    </row>
    <row r="317" spans="12:19" ht="12.75">
      <c r="L317" s="8"/>
      <c r="M317" s="34"/>
      <c r="N317" s="8"/>
      <c r="O317" s="35"/>
      <c r="P317" s="8"/>
      <c r="Q317" s="34"/>
      <c r="R317" s="8"/>
      <c r="S317" s="35"/>
    </row>
    <row r="318" spans="3:19" ht="12.75">
      <c r="C318" s="12" t="s">
        <v>117</v>
      </c>
      <c r="H318" s="33"/>
      <c r="I318" s="33"/>
      <c r="J318" s="33"/>
      <c r="K318" s="33"/>
      <c r="L318" s="33" t="s">
        <v>320</v>
      </c>
      <c r="M318" s="28">
        <f>M314-M316</f>
        <v>235297.89378999997</v>
      </c>
      <c r="N318" s="8"/>
      <c r="O318" s="8">
        <f>O314-O316</f>
        <v>247099.53639000002</v>
      </c>
      <c r="P318" s="8"/>
      <c r="Q318" s="28">
        <f>Q314-Q316</f>
        <v>736.0409</v>
      </c>
      <c r="R318" s="8"/>
      <c r="S318" s="8">
        <f>S314-S316</f>
        <v>954.7044099999999</v>
      </c>
    </row>
    <row r="319" spans="12:19" ht="12.75">
      <c r="L319" s="8"/>
      <c r="M319" s="28"/>
      <c r="N319" s="8"/>
      <c r="O319" s="8"/>
      <c r="P319" s="8"/>
      <c r="Q319" s="28"/>
      <c r="R319" s="8"/>
      <c r="S319" s="8"/>
    </row>
    <row r="320" spans="2:19" ht="12.75">
      <c r="B320" s="32">
        <v>7</v>
      </c>
      <c r="C320" s="12" t="s">
        <v>118</v>
      </c>
      <c r="L320" s="33" t="s">
        <v>320</v>
      </c>
      <c r="M320" s="28">
        <v>497.10922</v>
      </c>
      <c r="N320" s="8"/>
      <c r="O320" s="8">
        <v>291.28066</v>
      </c>
      <c r="P320" s="8"/>
      <c r="Q320" s="28">
        <v>0</v>
      </c>
      <c r="R320" s="8"/>
      <c r="S320" s="8">
        <v>0</v>
      </c>
    </row>
    <row r="321" spans="12:19" ht="12.75">
      <c r="L321" s="8"/>
      <c r="M321" s="28"/>
      <c r="N321" s="8"/>
      <c r="O321" s="8"/>
      <c r="P321" s="8"/>
      <c r="Q321" s="28"/>
      <c r="R321" s="8"/>
      <c r="S321" s="8"/>
    </row>
    <row r="322" spans="3:19" ht="12.75">
      <c r="C322" s="12" t="s">
        <v>119</v>
      </c>
      <c r="D322" s="9"/>
      <c r="E322" s="9"/>
      <c r="F322" s="9"/>
      <c r="G322" s="9"/>
      <c r="H322" s="9"/>
      <c r="I322" s="9"/>
      <c r="J322" s="9"/>
      <c r="L322" s="33" t="s">
        <v>320</v>
      </c>
      <c r="M322" s="28">
        <v>21051.7325</v>
      </c>
      <c r="N322" s="9"/>
      <c r="O322" s="8">
        <v>18467.51279</v>
      </c>
      <c r="P322" s="8"/>
      <c r="Q322" s="28">
        <v>0</v>
      </c>
      <c r="R322" s="8"/>
      <c r="S322" s="8">
        <v>0</v>
      </c>
    </row>
    <row r="323" spans="12:19" ht="12.75">
      <c r="L323" s="8"/>
      <c r="M323" s="28"/>
      <c r="N323" s="8"/>
      <c r="O323" s="8"/>
      <c r="P323" s="8"/>
      <c r="Q323" s="28"/>
      <c r="R323" s="8"/>
      <c r="S323" s="8"/>
    </row>
    <row r="324" spans="3:19" ht="12.75">
      <c r="C324" s="12" t="s">
        <v>120</v>
      </c>
      <c r="L324" s="33" t="s">
        <v>320</v>
      </c>
      <c r="M324" s="28">
        <v>237.92625</v>
      </c>
      <c r="N324" s="8"/>
      <c r="O324" s="12">
        <v>1041.09992</v>
      </c>
      <c r="P324" s="8"/>
      <c r="Q324" s="28">
        <v>2.9991</v>
      </c>
      <c r="R324" s="8"/>
      <c r="S324" s="12">
        <v>6.9716</v>
      </c>
    </row>
    <row r="325" spans="12:19" ht="12.75">
      <c r="L325" s="8"/>
      <c r="M325" s="34"/>
      <c r="N325" s="8"/>
      <c r="O325" s="35"/>
      <c r="P325" s="8"/>
      <c r="Q325" s="34"/>
      <c r="R325" s="8"/>
      <c r="S325" s="35"/>
    </row>
    <row r="326" spans="3:21" ht="12.75">
      <c r="C326" s="12" t="s">
        <v>121</v>
      </c>
      <c r="L326" s="33" t="s">
        <v>320</v>
      </c>
      <c r="M326" s="28">
        <f>M318+M320+M322-M324</f>
        <v>256608.80925999998</v>
      </c>
      <c r="N326" s="8"/>
      <c r="O326" s="8">
        <f>O318+O320+O322-O324</f>
        <v>264817.22992</v>
      </c>
      <c r="P326" s="8"/>
      <c r="Q326" s="28">
        <f>Q318+Q320+Q322-Q324</f>
        <v>733.0418</v>
      </c>
      <c r="R326" s="8"/>
      <c r="S326" s="8">
        <f>S318+S320+S322-S324</f>
        <v>947.73281</v>
      </c>
      <c r="U326" s="79"/>
    </row>
    <row r="327" spans="12:19" ht="12.75">
      <c r="L327" s="8"/>
      <c r="M327" s="28"/>
      <c r="N327" s="8"/>
      <c r="O327" s="8"/>
      <c r="P327" s="8"/>
      <c r="Q327" s="28"/>
      <c r="R327" s="8"/>
      <c r="S327" s="8"/>
    </row>
    <row r="328" spans="2:19" ht="12.75">
      <c r="B328" s="32">
        <v>8</v>
      </c>
      <c r="C328" s="12" t="s">
        <v>122</v>
      </c>
      <c r="L328" s="8"/>
      <c r="M328" s="28"/>
      <c r="N328" s="8"/>
      <c r="O328" s="8"/>
      <c r="P328" s="8"/>
      <c r="Q328" s="28"/>
      <c r="R328" s="8"/>
      <c r="S328" s="8"/>
    </row>
    <row r="329" spans="3:19" ht="12.75">
      <c r="C329" s="12" t="s">
        <v>123</v>
      </c>
      <c r="D329" s="9"/>
      <c r="E329" s="9"/>
      <c r="F329" s="9"/>
      <c r="I329" s="33"/>
      <c r="J329" s="33"/>
      <c r="K329" s="33"/>
      <c r="L329" s="33" t="s">
        <v>320</v>
      </c>
      <c r="M329" s="28">
        <v>1176.89915</v>
      </c>
      <c r="N329" s="9"/>
      <c r="O329" s="8">
        <v>-5466.92188</v>
      </c>
      <c r="P329" s="8"/>
      <c r="Q329" s="28">
        <v>88.6</v>
      </c>
      <c r="R329" s="8"/>
      <c r="S329" s="8">
        <v>15.8</v>
      </c>
    </row>
    <row r="330" spans="12:19" ht="12.75">
      <c r="L330" s="8"/>
      <c r="M330" s="28"/>
      <c r="N330" s="8"/>
      <c r="O330" s="8"/>
      <c r="P330" s="8"/>
      <c r="Q330" s="28"/>
      <c r="R330" s="8"/>
      <c r="S330" s="8"/>
    </row>
    <row r="331" spans="3:19" ht="12.75">
      <c r="C331" s="12" t="s">
        <v>124</v>
      </c>
      <c r="J331" s="33"/>
      <c r="K331" s="33"/>
      <c r="L331" s="33" t="s">
        <v>320</v>
      </c>
      <c r="M331" s="28">
        <v>-2154.40904</v>
      </c>
      <c r="N331" s="8"/>
      <c r="O331" s="12">
        <v>16463.90531</v>
      </c>
      <c r="P331" s="8"/>
      <c r="Q331" s="28">
        <v>0</v>
      </c>
      <c r="R331" s="8"/>
      <c r="S331" s="12">
        <v>0</v>
      </c>
    </row>
    <row r="332" spans="3:19" ht="12.75">
      <c r="C332" s="9"/>
      <c r="D332" s="9"/>
      <c r="E332" s="9"/>
      <c r="F332" s="9"/>
      <c r="G332" s="9"/>
      <c r="H332" s="9"/>
      <c r="I332" s="9"/>
      <c r="J332" s="9"/>
      <c r="L332" s="8"/>
      <c r="M332" s="34"/>
      <c r="N332" s="9"/>
      <c r="O332" s="35"/>
      <c r="P332" s="8"/>
      <c r="Q332" s="34"/>
      <c r="R332" s="8"/>
      <c r="S332" s="35"/>
    </row>
    <row r="333" spans="3:21" ht="12.75">
      <c r="C333" s="12" t="s">
        <v>125</v>
      </c>
      <c r="J333" s="33"/>
      <c r="K333" s="33"/>
      <c r="L333" s="33" t="s">
        <v>320</v>
      </c>
      <c r="M333" s="28">
        <f>M326+M329+M331</f>
        <v>255631.29937</v>
      </c>
      <c r="N333" s="8"/>
      <c r="O333" s="8">
        <f>O326+O329+O331</f>
        <v>275814.21335</v>
      </c>
      <c r="P333" s="8"/>
      <c r="Q333" s="28">
        <f>Q326+Q329+Q331</f>
        <v>821.6418</v>
      </c>
      <c r="R333" s="8"/>
      <c r="S333" s="8">
        <f>S326+S329+S331</f>
        <v>963.5328099999999</v>
      </c>
      <c r="U333" s="79"/>
    </row>
    <row r="334" spans="12:21" ht="12.75">
      <c r="L334" s="8"/>
      <c r="M334" s="28"/>
      <c r="N334" s="8"/>
      <c r="O334" s="8"/>
      <c r="P334" s="8"/>
      <c r="Q334" s="28"/>
      <c r="R334" s="8"/>
      <c r="S334" s="8"/>
      <c r="U334" s="79"/>
    </row>
    <row r="335" spans="2:19" ht="12.75">
      <c r="B335" s="32">
        <v>9</v>
      </c>
      <c r="C335" s="12" t="s">
        <v>126</v>
      </c>
      <c r="L335" s="8"/>
      <c r="M335" s="28"/>
      <c r="N335" s="8"/>
      <c r="O335" s="8"/>
      <c r="P335" s="8"/>
      <c r="Q335" s="28"/>
      <c r="R335" s="8"/>
      <c r="S335" s="8"/>
    </row>
    <row r="336" spans="2:19" ht="12.75">
      <c r="B336" s="32"/>
      <c r="C336" s="12" t="s">
        <v>676</v>
      </c>
      <c r="H336" s="33"/>
      <c r="I336" s="33"/>
      <c r="J336" s="33"/>
      <c r="K336" s="33"/>
      <c r="L336" s="33" t="s">
        <v>320</v>
      </c>
      <c r="M336" s="28">
        <v>122367.40284</v>
      </c>
      <c r="N336" s="8"/>
      <c r="O336" s="8">
        <v>118538.61096</v>
      </c>
      <c r="P336" s="8"/>
      <c r="Q336" s="28">
        <v>631.50372</v>
      </c>
      <c r="R336" s="8"/>
      <c r="S336" s="8">
        <v>633.58061</v>
      </c>
    </row>
    <row r="337" spans="12:19" ht="12.75">
      <c r="L337" s="8"/>
      <c r="M337" s="28"/>
      <c r="N337" s="8"/>
      <c r="O337" s="8"/>
      <c r="P337" s="8"/>
      <c r="Q337" s="28"/>
      <c r="R337" s="8"/>
      <c r="S337" s="8"/>
    </row>
    <row r="338" spans="1:19" ht="12.75">
      <c r="A338" s="36">
        <v>20</v>
      </c>
      <c r="B338" s="32">
        <v>21</v>
      </c>
      <c r="C338" s="12" t="s">
        <v>677</v>
      </c>
      <c r="L338" s="8"/>
      <c r="M338" s="28"/>
      <c r="N338" s="8"/>
      <c r="O338" s="8"/>
      <c r="P338" s="8"/>
      <c r="Q338" s="28"/>
      <c r="R338" s="8"/>
      <c r="S338" s="8"/>
    </row>
    <row r="339" spans="2:19" ht="12.75">
      <c r="B339" s="32"/>
      <c r="C339" s="12" t="s">
        <v>678</v>
      </c>
      <c r="H339" s="33"/>
      <c r="I339" s="33"/>
      <c r="J339" s="33"/>
      <c r="K339" s="33"/>
      <c r="L339" s="33" t="s">
        <v>320</v>
      </c>
      <c r="M339" s="28">
        <v>5275.52726</v>
      </c>
      <c r="N339" s="8"/>
      <c r="O339" s="8">
        <v>921.27149</v>
      </c>
      <c r="P339" s="8"/>
      <c r="Q339" s="28">
        <v>0</v>
      </c>
      <c r="R339" s="8"/>
      <c r="S339" s="8">
        <v>0</v>
      </c>
    </row>
    <row r="340" spans="12:19" ht="12.75">
      <c r="L340" s="8"/>
      <c r="M340" s="28"/>
      <c r="N340" s="8"/>
      <c r="O340" s="8"/>
      <c r="P340" s="8"/>
      <c r="Q340" s="28"/>
      <c r="R340" s="8"/>
      <c r="S340" s="8"/>
    </row>
    <row r="341" spans="3:19" ht="12.75">
      <c r="C341" s="1" t="s">
        <v>849</v>
      </c>
      <c r="L341" s="33" t="s">
        <v>320</v>
      </c>
      <c r="M341" s="28">
        <v>0</v>
      </c>
      <c r="N341" s="8"/>
      <c r="O341" s="8">
        <v>78.9</v>
      </c>
      <c r="P341" s="8"/>
      <c r="Q341" s="28">
        <v>0</v>
      </c>
      <c r="R341" s="8"/>
      <c r="S341" s="8">
        <v>0</v>
      </c>
    </row>
    <row r="342" spans="12:19" ht="12.75">
      <c r="L342" s="8"/>
      <c r="M342" s="28"/>
      <c r="N342" s="8"/>
      <c r="O342" s="8"/>
      <c r="P342" s="8"/>
      <c r="Q342" s="28"/>
      <c r="R342" s="8"/>
      <c r="S342" s="8"/>
    </row>
    <row r="343" spans="2:19" ht="12.75">
      <c r="B343" s="32">
        <v>28</v>
      </c>
      <c r="C343" s="12" t="s">
        <v>679</v>
      </c>
      <c r="L343" s="8"/>
      <c r="M343" s="28"/>
      <c r="N343" s="8"/>
      <c r="O343" s="8"/>
      <c r="P343" s="8"/>
      <c r="Q343" s="28"/>
      <c r="R343" s="8"/>
      <c r="S343" s="8"/>
    </row>
    <row r="344" spans="2:19" ht="12.75">
      <c r="B344" s="32"/>
      <c r="C344" s="12" t="s">
        <v>680</v>
      </c>
      <c r="H344" s="33"/>
      <c r="I344" s="33"/>
      <c r="J344" s="33"/>
      <c r="K344" s="33"/>
      <c r="L344" s="33" t="s">
        <v>320</v>
      </c>
      <c r="M344" s="28">
        <v>11570.01574</v>
      </c>
      <c r="N344" s="8"/>
      <c r="O344" s="8">
        <v>109629.8038</v>
      </c>
      <c r="P344" s="8"/>
      <c r="Q344" s="28">
        <v>0</v>
      </c>
      <c r="R344" s="8"/>
      <c r="S344" s="8">
        <v>0</v>
      </c>
    </row>
    <row r="345" spans="12:19" ht="12.75">
      <c r="L345" s="8"/>
      <c r="M345" s="28"/>
      <c r="N345" s="8"/>
      <c r="O345" s="8"/>
      <c r="P345" s="8"/>
      <c r="Q345" s="28"/>
      <c r="R345" s="8"/>
      <c r="S345" s="8"/>
    </row>
    <row r="346" spans="1:19" ht="12.75">
      <c r="A346" s="36">
        <v>10</v>
      </c>
      <c r="B346" s="32">
        <v>19</v>
      </c>
      <c r="C346" s="12" t="s">
        <v>681</v>
      </c>
      <c r="L346" s="8"/>
      <c r="M346" s="28"/>
      <c r="N346" s="8"/>
      <c r="O346" s="8"/>
      <c r="P346" s="8"/>
      <c r="Q346" s="28"/>
      <c r="R346" s="8"/>
      <c r="S346" s="8"/>
    </row>
    <row r="347" spans="1:19" ht="12.75">
      <c r="A347" s="36"/>
      <c r="B347" s="32"/>
      <c r="C347" s="12" t="s">
        <v>682</v>
      </c>
      <c r="L347" s="33" t="s">
        <v>320</v>
      </c>
      <c r="M347" s="28">
        <v>4938.503</v>
      </c>
      <c r="N347" s="8"/>
      <c r="O347" s="12">
        <v>970.08743</v>
      </c>
      <c r="P347" s="8"/>
      <c r="Q347" s="28">
        <v>96529.89885</v>
      </c>
      <c r="R347" s="8"/>
      <c r="S347" s="12">
        <v>37764.54824</v>
      </c>
    </row>
    <row r="348" spans="12:19" ht="12.75">
      <c r="L348" s="8"/>
      <c r="M348" s="34"/>
      <c r="N348" s="8"/>
      <c r="O348" s="35"/>
      <c r="P348" s="8"/>
      <c r="Q348" s="34"/>
      <c r="R348" s="8"/>
      <c r="S348" s="35"/>
    </row>
    <row r="349" spans="3:21" ht="12.75">
      <c r="C349" s="12" t="s">
        <v>683</v>
      </c>
      <c r="L349" s="33" t="s">
        <v>320</v>
      </c>
      <c r="M349" s="28">
        <f>M333-M336-M339-M341-M344+M347</f>
        <v>121356.85652999999</v>
      </c>
      <c r="N349" s="8"/>
      <c r="O349" s="8">
        <f>O333-O336-O339-O341-O344+O347</f>
        <v>47615.714529999954</v>
      </c>
      <c r="P349" s="8"/>
      <c r="Q349" s="28">
        <f>Q333-Q336-Q339-Q341-Q344+Q347</f>
        <v>96720.03693</v>
      </c>
      <c r="R349" s="8"/>
      <c r="S349" s="8">
        <f>S333-S336-S339-S341-S344+S347</f>
        <v>38094.500439999996</v>
      </c>
      <c r="T349" s="103">
        <f>(Q353*0.5772%)*1000</f>
        <v>558095.9321199601</v>
      </c>
      <c r="U349" s="104"/>
    </row>
    <row r="350" spans="3:21" ht="12.75">
      <c r="C350" s="9"/>
      <c r="D350" s="9"/>
      <c r="E350" s="9"/>
      <c r="F350" s="9"/>
      <c r="G350" s="9"/>
      <c r="H350" s="9"/>
      <c r="I350" s="9"/>
      <c r="J350" s="9"/>
      <c r="L350" s="8"/>
      <c r="M350" s="28"/>
      <c r="N350" s="9"/>
      <c r="O350" s="8"/>
      <c r="P350" s="8"/>
      <c r="Q350" s="28"/>
      <c r="R350" s="8"/>
      <c r="S350" s="8"/>
      <c r="T350" s="105"/>
      <c r="U350" s="103"/>
    </row>
    <row r="351" spans="2:21" ht="12.75">
      <c r="B351" s="32">
        <v>11</v>
      </c>
      <c r="C351" s="12" t="s">
        <v>684</v>
      </c>
      <c r="E351" s="33"/>
      <c r="F351" s="33"/>
      <c r="G351" s="33"/>
      <c r="H351" s="33"/>
      <c r="I351" s="33"/>
      <c r="J351" s="33"/>
      <c r="K351" s="33"/>
      <c r="L351" s="33" t="s">
        <v>320</v>
      </c>
      <c r="M351" s="28">
        <v>24106.23517</v>
      </c>
      <c r="N351" s="8"/>
      <c r="O351" s="12">
        <v>9364.19165</v>
      </c>
      <c r="P351" s="8"/>
      <c r="Q351" s="28">
        <v>29.82</v>
      </c>
      <c r="R351" s="8"/>
      <c r="S351" s="12">
        <v>64.52</v>
      </c>
      <c r="T351" s="105"/>
      <c r="U351" s="106">
        <f>T349-U356</f>
        <v>-2308.4978800349636</v>
      </c>
    </row>
    <row r="352" spans="12:21" ht="12.75">
      <c r="L352" s="8"/>
      <c r="M352" s="34"/>
      <c r="N352" s="8"/>
      <c r="O352" s="35"/>
      <c r="P352" s="8"/>
      <c r="Q352" s="34"/>
      <c r="R352" s="8"/>
      <c r="S352" s="35"/>
      <c r="T352" s="105"/>
      <c r="U352" s="105"/>
    </row>
    <row r="353" spans="3:21" ht="12.75">
      <c r="C353" s="12" t="s">
        <v>685</v>
      </c>
      <c r="F353" s="33"/>
      <c r="G353" s="33"/>
      <c r="H353" s="33"/>
      <c r="I353" s="33"/>
      <c r="J353" s="33"/>
      <c r="K353" s="33"/>
      <c r="L353" s="33" t="s">
        <v>320</v>
      </c>
      <c r="M353" s="28">
        <f>M349-M351</f>
        <v>97250.62135999999</v>
      </c>
      <c r="N353" s="8"/>
      <c r="O353" s="8">
        <f>O349-O351</f>
        <v>38251.52287999995</v>
      </c>
      <c r="P353" s="8"/>
      <c r="Q353" s="28">
        <f>Q349-Q351</f>
        <v>96690.21693</v>
      </c>
      <c r="R353" s="8"/>
      <c r="S353" s="8">
        <f>S349-S351</f>
        <v>38029.98044</v>
      </c>
      <c r="T353" s="105"/>
      <c r="U353" s="106">
        <f>(T349-U356)/0.5772%</f>
        <v>-399947.6576637151</v>
      </c>
    </row>
    <row r="354" spans="12:21" ht="12.75">
      <c r="L354" s="8"/>
      <c r="M354" s="28"/>
      <c r="N354" s="8"/>
      <c r="O354" s="8"/>
      <c r="P354" s="8"/>
      <c r="Q354" s="28"/>
      <c r="R354" s="8"/>
      <c r="S354" s="8"/>
      <c r="T354" s="105"/>
      <c r="U354" s="106"/>
    </row>
    <row r="355" spans="3:21" ht="12.75">
      <c r="C355" s="12" t="s">
        <v>686</v>
      </c>
      <c r="L355" s="8"/>
      <c r="M355" s="28"/>
      <c r="N355" s="8"/>
      <c r="O355" s="8"/>
      <c r="P355" s="8"/>
      <c r="Q355" s="28"/>
      <c r="R355" s="8"/>
      <c r="S355" s="8"/>
      <c r="T355" s="105"/>
      <c r="U355" s="103">
        <f>M353*1000</f>
        <v>97250621.35999998</v>
      </c>
    </row>
    <row r="356" spans="3:21" ht="12.75">
      <c r="C356" s="12" t="s">
        <v>687</v>
      </c>
      <c r="G356" s="33"/>
      <c r="H356" s="33"/>
      <c r="I356" s="33"/>
      <c r="J356" s="33"/>
      <c r="K356" s="33"/>
      <c r="L356" s="33" t="s">
        <v>320</v>
      </c>
      <c r="M356" s="124">
        <f>M353-Q353</f>
        <v>560.404429999995</v>
      </c>
      <c r="N356" s="8"/>
      <c r="O356" s="123">
        <f>O353-S353</f>
        <v>221.54243999995379</v>
      </c>
      <c r="P356" s="8"/>
      <c r="Q356" s="28"/>
      <c r="R356" s="8"/>
      <c r="S356" s="8"/>
      <c r="T356" s="105"/>
      <c r="U356" s="103">
        <f>M356*1000</f>
        <v>560404.429999995</v>
      </c>
    </row>
    <row r="357" spans="1:23" ht="15.75">
      <c r="A357" s="7" t="s">
        <v>544</v>
      </c>
      <c r="B357" s="3"/>
      <c r="C357" s="3"/>
      <c r="D357" s="37"/>
      <c r="E357" s="37"/>
      <c r="F357" s="37"/>
      <c r="G357" s="37"/>
      <c r="H357" s="37"/>
      <c r="I357" s="37"/>
      <c r="J357" s="37"/>
      <c r="K357" s="37"/>
      <c r="L357" s="37"/>
      <c r="M357" s="122"/>
      <c r="N357" s="37"/>
      <c r="O357" s="122"/>
      <c r="P357" s="37"/>
      <c r="Q357" s="37"/>
      <c r="R357" s="37"/>
      <c r="S357" s="37"/>
      <c r="T357" s="107"/>
      <c r="U357" s="107"/>
      <c r="V357" s="8"/>
      <c r="W357" s="8"/>
    </row>
    <row r="358" spans="12:21" ht="12.75">
      <c r="L358" s="8"/>
      <c r="N358" s="8"/>
      <c r="P358" s="8"/>
      <c r="T358" s="105"/>
      <c r="U358" s="103">
        <f>T349-U356</f>
        <v>-2308.4978800349636</v>
      </c>
    </row>
    <row r="359" spans="12:19" ht="12.75">
      <c r="L359" s="8"/>
      <c r="M359" s="29" t="s">
        <v>330</v>
      </c>
      <c r="N359" s="3"/>
      <c r="O359" s="3"/>
      <c r="Q359" s="29" t="s">
        <v>356</v>
      </c>
      <c r="R359" s="3"/>
      <c r="S359" s="3"/>
    </row>
    <row r="360" spans="12:19" ht="12.75">
      <c r="L360" s="8"/>
      <c r="M360" s="28"/>
      <c r="Q360" s="29" t="s">
        <v>357</v>
      </c>
      <c r="R360" s="3"/>
      <c r="S360" s="3"/>
    </row>
    <row r="361" spans="3:19" ht="12.75">
      <c r="C361" s="12" t="s">
        <v>114</v>
      </c>
      <c r="D361" s="9"/>
      <c r="E361" s="9"/>
      <c r="F361" s="9"/>
      <c r="G361" s="9"/>
      <c r="H361" s="9"/>
      <c r="I361" s="9"/>
      <c r="L361" s="8"/>
      <c r="M361" s="30">
        <f>M312</f>
        <v>2004</v>
      </c>
      <c r="O361" s="31">
        <f>O312</f>
        <v>2003</v>
      </c>
      <c r="Q361" s="30">
        <f>Q312</f>
        <v>2004</v>
      </c>
      <c r="S361" s="31">
        <f>S312</f>
        <v>2003</v>
      </c>
    </row>
    <row r="362" spans="3:17" ht="12.75">
      <c r="C362" s="9" t="s">
        <v>688</v>
      </c>
      <c r="L362" s="8"/>
      <c r="M362" s="28"/>
      <c r="N362" s="8"/>
      <c r="P362" s="8"/>
      <c r="Q362" s="108"/>
    </row>
    <row r="363" spans="3:17" ht="10.5" customHeight="1">
      <c r="C363" s="9"/>
      <c r="D363" s="9"/>
      <c r="E363" s="9"/>
      <c r="F363" s="9"/>
      <c r="G363" s="9"/>
      <c r="H363" s="9"/>
      <c r="L363" s="8"/>
      <c r="M363" s="28"/>
      <c r="N363" s="9"/>
      <c r="P363" s="8"/>
      <c r="Q363" s="108"/>
    </row>
    <row r="364" spans="3:17" ht="15.75">
      <c r="C364" s="14" t="s">
        <v>689</v>
      </c>
      <c r="D364" s="38"/>
      <c r="E364" s="38"/>
      <c r="F364" s="38"/>
      <c r="G364" s="38"/>
      <c r="H364" s="38"/>
      <c r="I364" s="38"/>
      <c r="J364" s="38"/>
      <c r="L364" s="38"/>
      <c r="M364" s="28"/>
      <c r="N364" s="38"/>
      <c r="Q364" s="108"/>
    </row>
    <row r="365" spans="3:19" ht="12.75">
      <c r="C365" s="12" t="s">
        <v>690</v>
      </c>
      <c r="L365" s="33" t="s">
        <v>320</v>
      </c>
      <c r="M365" s="28">
        <v>209216.66396</v>
      </c>
      <c r="N365" s="8"/>
      <c r="O365" s="8">
        <v>181946.85505</v>
      </c>
      <c r="P365" s="8"/>
      <c r="Q365" s="108">
        <v>0</v>
      </c>
      <c r="R365" s="8"/>
      <c r="S365" s="8">
        <v>0</v>
      </c>
    </row>
    <row r="366" spans="13:19" ht="9" customHeight="1">
      <c r="M366" s="108"/>
      <c r="N366" s="8"/>
      <c r="O366" s="8"/>
      <c r="P366" s="8"/>
      <c r="Q366" s="108"/>
      <c r="R366" s="8"/>
      <c r="S366" s="8"/>
    </row>
    <row r="367" spans="1:19" ht="12.75">
      <c r="A367" s="36">
        <v>15</v>
      </c>
      <c r="B367" s="32">
        <v>31</v>
      </c>
      <c r="C367" s="12" t="s">
        <v>691</v>
      </c>
      <c r="L367" s="33" t="s">
        <v>320</v>
      </c>
      <c r="M367" s="108">
        <v>79402.41358</v>
      </c>
      <c r="N367" s="8"/>
      <c r="O367" s="8">
        <v>116702.01372</v>
      </c>
      <c r="P367" s="8"/>
      <c r="Q367" s="108">
        <v>16483.03528</v>
      </c>
      <c r="R367" s="8"/>
      <c r="S367" s="8">
        <v>16459.56103</v>
      </c>
    </row>
    <row r="368" spans="13:19" ht="9" customHeight="1">
      <c r="M368" s="108"/>
      <c r="N368" s="8"/>
      <c r="O368" s="8"/>
      <c r="P368" s="8"/>
      <c r="Q368" s="108"/>
      <c r="R368" s="8"/>
      <c r="S368" s="8"/>
    </row>
    <row r="369" spans="1:19" ht="12.75">
      <c r="A369" s="36">
        <v>28</v>
      </c>
      <c r="B369" s="32">
        <v>32</v>
      </c>
      <c r="C369" s="12" t="s">
        <v>692</v>
      </c>
      <c r="E369" s="33"/>
      <c r="F369" s="33"/>
      <c r="G369" s="33"/>
      <c r="H369" s="33"/>
      <c r="I369" s="33"/>
      <c r="J369" s="33"/>
      <c r="K369" s="33"/>
      <c r="L369" s="33" t="s">
        <v>320</v>
      </c>
      <c r="M369" s="108">
        <v>3635864.9947</v>
      </c>
      <c r="N369" s="8"/>
      <c r="O369" s="8">
        <v>3511794.61411</v>
      </c>
      <c r="P369" s="8"/>
      <c r="Q369" s="108">
        <v>0</v>
      </c>
      <c r="R369" s="8"/>
      <c r="S369" s="8">
        <v>0</v>
      </c>
    </row>
    <row r="370" spans="3:19" ht="9" customHeight="1">
      <c r="C370" s="9"/>
      <c r="D370" s="9"/>
      <c r="E370" s="9"/>
      <c r="F370" s="9"/>
      <c r="G370" s="9"/>
      <c r="H370" s="9"/>
      <c r="I370" s="9"/>
      <c r="J370" s="9"/>
      <c r="K370" s="9"/>
      <c r="M370" s="108"/>
      <c r="N370" s="9"/>
      <c r="O370" s="8"/>
      <c r="P370" s="8"/>
      <c r="Q370" s="108"/>
      <c r="R370" s="8"/>
      <c r="S370" s="8"/>
    </row>
    <row r="371" spans="2:19" ht="12.75">
      <c r="B371" s="32">
        <v>16</v>
      </c>
      <c r="C371" s="12" t="s">
        <v>693</v>
      </c>
      <c r="D371" s="9"/>
      <c r="E371" s="9"/>
      <c r="F371" s="33"/>
      <c r="G371" s="33"/>
      <c r="H371" s="33"/>
      <c r="I371" s="33"/>
      <c r="J371" s="33"/>
      <c r="K371" s="33"/>
      <c r="L371" s="33" t="s">
        <v>320</v>
      </c>
      <c r="M371" s="108">
        <v>1431012.68176</v>
      </c>
      <c r="N371" s="9"/>
      <c r="O371" s="8">
        <v>1377722.67674</v>
      </c>
      <c r="P371" s="8"/>
      <c r="Q371" s="108">
        <v>10051.4</v>
      </c>
      <c r="R371" s="8"/>
      <c r="S371" s="8">
        <v>9964.6</v>
      </c>
    </row>
    <row r="372" spans="12:19" ht="9" customHeight="1">
      <c r="L372" s="8"/>
      <c r="M372" s="108"/>
      <c r="N372" s="8"/>
      <c r="O372" s="8"/>
      <c r="P372" s="8"/>
      <c r="Q372" s="108"/>
      <c r="R372" s="8"/>
      <c r="S372" s="8"/>
    </row>
    <row r="373" spans="1:19" ht="12.75">
      <c r="A373" s="36">
        <v>17</v>
      </c>
      <c r="B373" s="32">
        <v>19</v>
      </c>
      <c r="C373" s="12" t="s">
        <v>694</v>
      </c>
      <c r="F373" s="33"/>
      <c r="G373" s="33"/>
      <c r="H373" s="33"/>
      <c r="I373" s="33"/>
      <c r="J373" s="33"/>
      <c r="K373" s="33"/>
      <c r="L373" s="33" t="s">
        <v>320</v>
      </c>
      <c r="M373" s="108">
        <v>14083.84813</v>
      </c>
      <c r="N373" s="8"/>
      <c r="O373" s="8">
        <v>5202.81451</v>
      </c>
      <c r="P373" s="8"/>
      <c r="Q373" s="108">
        <v>244.965</v>
      </c>
      <c r="R373" s="8"/>
      <c r="S373" s="8">
        <v>244.965</v>
      </c>
    </row>
    <row r="374" spans="12:19" ht="9" customHeight="1">
      <c r="L374" s="8"/>
      <c r="M374" s="108"/>
      <c r="N374" s="8"/>
      <c r="O374" s="8"/>
      <c r="P374" s="8"/>
      <c r="Q374" s="108"/>
      <c r="R374" s="8"/>
      <c r="S374" s="8"/>
    </row>
    <row r="375" spans="2:19" ht="12.75">
      <c r="B375" s="32">
        <v>19</v>
      </c>
      <c r="C375" s="12" t="s">
        <v>244</v>
      </c>
      <c r="L375" s="8"/>
      <c r="M375" s="108"/>
      <c r="N375" s="8"/>
      <c r="O375" s="8"/>
      <c r="P375" s="8"/>
      <c r="Q375" s="108"/>
      <c r="R375" s="8"/>
      <c r="S375" s="8"/>
    </row>
    <row r="376" spans="2:19" ht="12.75">
      <c r="B376" s="32"/>
      <c r="C376" s="12" t="s">
        <v>695</v>
      </c>
      <c r="H376" s="33"/>
      <c r="I376" s="33"/>
      <c r="J376" s="33"/>
      <c r="K376" s="33"/>
      <c r="L376" s="33" t="s">
        <v>320</v>
      </c>
      <c r="M376" s="108">
        <v>4921.27476</v>
      </c>
      <c r="N376" s="8"/>
      <c r="O376" s="8">
        <v>3677.04138</v>
      </c>
      <c r="P376" s="8"/>
      <c r="Q376" s="108">
        <v>0</v>
      </c>
      <c r="R376" s="8"/>
      <c r="S376" s="8">
        <v>0</v>
      </c>
    </row>
    <row r="377" spans="12:19" ht="9" customHeight="1">
      <c r="L377" s="8"/>
      <c r="M377" s="108"/>
      <c r="N377" s="8"/>
      <c r="O377" s="8"/>
      <c r="P377" s="8"/>
      <c r="Q377" s="108"/>
      <c r="R377" s="8"/>
      <c r="S377" s="8"/>
    </row>
    <row r="378" spans="2:19" ht="12.75">
      <c r="B378" s="32">
        <v>19</v>
      </c>
      <c r="C378" s="12" t="s">
        <v>696</v>
      </c>
      <c r="L378" s="8"/>
      <c r="M378" s="108"/>
      <c r="N378" s="8"/>
      <c r="O378" s="8"/>
      <c r="P378" s="8"/>
      <c r="Q378" s="108"/>
      <c r="R378" s="8"/>
      <c r="S378" s="8"/>
    </row>
    <row r="379" spans="2:19" ht="12.75">
      <c r="B379" s="32"/>
      <c r="C379" s="12" t="s">
        <v>697</v>
      </c>
      <c r="H379" s="33"/>
      <c r="I379" s="33"/>
      <c r="J379" s="33"/>
      <c r="K379" s="33"/>
      <c r="L379" s="33" t="s">
        <v>320</v>
      </c>
      <c r="M379" s="108">
        <v>120751.94723</v>
      </c>
      <c r="N379" s="8"/>
      <c r="O379" s="8">
        <v>116304.91391</v>
      </c>
      <c r="P379" s="8"/>
      <c r="Q379" s="108">
        <v>1548213.38939</v>
      </c>
      <c r="R379" s="8"/>
      <c r="S379" s="8">
        <v>1501394.89054</v>
      </c>
    </row>
    <row r="380" spans="2:19" ht="9" customHeight="1">
      <c r="B380" s="32"/>
      <c r="C380" s="12"/>
      <c r="H380" s="33"/>
      <c r="I380" s="33"/>
      <c r="J380" s="33"/>
      <c r="K380" s="33"/>
      <c r="L380" s="33"/>
      <c r="M380" s="108"/>
      <c r="N380" s="8"/>
      <c r="O380" s="8"/>
      <c r="P380" s="8"/>
      <c r="Q380" s="108"/>
      <c r="R380" s="8"/>
      <c r="S380" s="8"/>
    </row>
    <row r="381" spans="2:19" ht="12.75">
      <c r="B381" s="32">
        <v>20</v>
      </c>
      <c r="C381" s="12" t="s">
        <v>698</v>
      </c>
      <c r="H381" s="33"/>
      <c r="I381" s="33"/>
      <c r="J381" s="33"/>
      <c r="K381" s="33"/>
      <c r="L381" s="33" t="s">
        <v>320</v>
      </c>
      <c r="M381" s="108">
        <v>0</v>
      </c>
      <c r="N381" s="8"/>
      <c r="O381" s="8">
        <v>0</v>
      </c>
      <c r="P381" s="8"/>
      <c r="Q381" s="108">
        <v>0</v>
      </c>
      <c r="R381" s="8"/>
      <c r="S381" s="8">
        <v>0</v>
      </c>
    </row>
    <row r="382" spans="12:19" ht="9" customHeight="1">
      <c r="L382" s="8"/>
      <c r="M382" s="108"/>
      <c r="N382" s="8"/>
      <c r="O382" s="8"/>
      <c r="P382" s="8"/>
      <c r="Q382" s="108"/>
      <c r="R382" s="8"/>
      <c r="S382" s="8"/>
    </row>
    <row r="383" spans="2:19" ht="12.75">
      <c r="B383" s="32">
        <v>21</v>
      </c>
      <c r="C383" s="12" t="s">
        <v>699</v>
      </c>
      <c r="H383" s="33"/>
      <c r="I383" s="33"/>
      <c r="J383" s="33"/>
      <c r="K383" s="33"/>
      <c r="L383" s="33" t="s">
        <v>320</v>
      </c>
      <c r="M383" s="108">
        <v>65586.86065</v>
      </c>
      <c r="N383" s="8"/>
      <c r="O383" s="8">
        <v>68802.67856</v>
      </c>
      <c r="P383" s="8"/>
      <c r="Q383" s="108">
        <v>0</v>
      </c>
      <c r="R383" s="8"/>
      <c r="S383" s="8">
        <v>0</v>
      </c>
    </row>
    <row r="384" spans="3:19" ht="9" customHeight="1">
      <c r="C384" s="9"/>
      <c r="D384" s="9"/>
      <c r="E384" s="9"/>
      <c r="F384" s="9"/>
      <c r="G384" s="9"/>
      <c r="H384" s="9"/>
      <c r="I384" s="9"/>
      <c r="J384" s="9"/>
      <c r="K384" s="9"/>
      <c r="L384" s="8"/>
      <c r="M384" s="108"/>
      <c r="N384" s="9"/>
      <c r="O384" s="8"/>
      <c r="P384" s="8"/>
      <c r="Q384" s="108"/>
      <c r="R384" s="8"/>
      <c r="S384" s="8"/>
    </row>
    <row r="385" spans="2:19" ht="12.75">
      <c r="B385" s="32"/>
      <c r="C385" s="12" t="s">
        <v>700</v>
      </c>
      <c r="D385" s="9"/>
      <c r="E385" s="9"/>
      <c r="F385" s="9"/>
      <c r="G385" s="9"/>
      <c r="H385" s="33"/>
      <c r="I385" s="33"/>
      <c r="J385" s="33"/>
      <c r="K385" s="33"/>
      <c r="L385" s="33" t="s">
        <v>320</v>
      </c>
      <c r="M385" s="108">
        <v>0</v>
      </c>
      <c r="N385" s="9"/>
      <c r="O385" s="8">
        <v>0</v>
      </c>
      <c r="P385" s="8"/>
      <c r="Q385" s="108">
        <v>0</v>
      </c>
      <c r="R385" s="8"/>
      <c r="S385" s="8">
        <v>0</v>
      </c>
    </row>
    <row r="386" spans="12:19" ht="9" customHeight="1">
      <c r="L386" s="8"/>
      <c r="M386" s="108"/>
      <c r="N386" s="8"/>
      <c r="O386" s="8"/>
      <c r="P386" s="8"/>
      <c r="Q386" s="108"/>
      <c r="R386" s="8"/>
      <c r="S386" s="8"/>
    </row>
    <row r="387" spans="3:19" ht="12.75">
      <c r="C387" s="12" t="s">
        <v>701</v>
      </c>
      <c r="H387" s="33"/>
      <c r="I387" s="33"/>
      <c r="J387" s="33"/>
      <c r="K387" s="33"/>
      <c r="L387" s="33" t="s">
        <v>320</v>
      </c>
      <c r="M387" s="108">
        <v>41132.97373</v>
      </c>
      <c r="N387" s="8"/>
      <c r="O387" s="8">
        <v>31347.29925</v>
      </c>
      <c r="P387" s="8"/>
      <c r="Q387" s="108">
        <v>49711.4</v>
      </c>
      <c r="R387" s="8"/>
      <c r="S387" s="8">
        <v>19884.56</v>
      </c>
    </row>
    <row r="388" spans="12:19" ht="9" customHeight="1">
      <c r="L388" s="8"/>
      <c r="M388" s="108"/>
      <c r="N388" s="8"/>
      <c r="O388" s="8"/>
      <c r="P388" s="8"/>
      <c r="Q388" s="108"/>
      <c r="R388" s="8"/>
      <c r="S388" s="8"/>
    </row>
    <row r="389" spans="3:19" ht="12.75">
      <c r="C389" s="12" t="s">
        <v>702</v>
      </c>
      <c r="H389" s="33"/>
      <c r="I389" s="33"/>
      <c r="J389" s="33"/>
      <c r="K389" s="33"/>
      <c r="L389" s="33" t="s">
        <v>320</v>
      </c>
      <c r="M389" s="108">
        <v>4983.30986</v>
      </c>
      <c r="N389" s="8"/>
      <c r="O389" s="12">
        <v>4859.10289</v>
      </c>
      <c r="P389" s="8"/>
      <c r="Q389" s="108">
        <v>29</v>
      </c>
      <c r="R389" s="8"/>
      <c r="S389" s="12">
        <v>26</v>
      </c>
    </row>
    <row r="390" spans="12:19" ht="9" customHeight="1">
      <c r="L390" s="8"/>
      <c r="M390" s="109"/>
      <c r="N390" s="8"/>
      <c r="O390" s="35"/>
      <c r="P390" s="8"/>
      <c r="Q390" s="109"/>
      <c r="R390" s="8"/>
      <c r="S390" s="35"/>
    </row>
    <row r="391" spans="3:19" ht="12.75">
      <c r="C391" s="12" t="s">
        <v>703</v>
      </c>
      <c r="D391" s="9"/>
      <c r="E391" s="9"/>
      <c r="F391" s="9"/>
      <c r="G391" s="9"/>
      <c r="H391" s="33"/>
      <c r="I391" s="33"/>
      <c r="J391" s="33"/>
      <c r="K391" s="33"/>
      <c r="L391" s="33" t="s">
        <v>320</v>
      </c>
      <c r="M391" s="108">
        <f>SUM(M365:M389)</f>
        <v>5606956.968360001</v>
      </c>
      <c r="N391" s="8"/>
      <c r="O391" s="12">
        <f>SUM(O365:O390)</f>
        <v>5418360.01012</v>
      </c>
      <c r="P391" s="8"/>
      <c r="Q391" s="108">
        <f>SUM(Q365:Q389)</f>
        <v>1624733.1896699998</v>
      </c>
      <c r="R391" s="8"/>
      <c r="S391" s="12">
        <f>SUM(S365:S390)</f>
        <v>1547974.57657</v>
      </c>
    </row>
    <row r="392" spans="12:19" ht="10.5" customHeight="1">
      <c r="L392" s="8"/>
      <c r="M392" s="109"/>
      <c r="N392" s="8"/>
      <c r="O392" s="35"/>
      <c r="P392" s="8"/>
      <c r="Q392" s="109"/>
      <c r="R392" s="8"/>
      <c r="S392" s="35"/>
    </row>
    <row r="393" spans="3:19" ht="10.5" customHeight="1">
      <c r="C393" s="9"/>
      <c r="D393" s="9"/>
      <c r="E393" s="9"/>
      <c r="F393" s="9"/>
      <c r="G393" s="9"/>
      <c r="H393" s="9"/>
      <c r="L393" s="8"/>
      <c r="M393" s="108"/>
      <c r="N393" s="9"/>
      <c r="O393" s="8"/>
      <c r="P393" s="8"/>
      <c r="Q393" s="108"/>
      <c r="R393" s="8"/>
      <c r="S393" s="8"/>
    </row>
    <row r="394" spans="3:19" ht="12.75">
      <c r="C394" s="9" t="s">
        <v>704</v>
      </c>
      <c r="L394" s="8"/>
      <c r="M394" s="108"/>
      <c r="N394" s="8"/>
      <c r="O394" s="8"/>
      <c r="P394" s="8"/>
      <c r="Q394" s="108"/>
      <c r="R394" s="8"/>
      <c r="S394" s="8"/>
    </row>
    <row r="395" spans="3:19" ht="10.5" customHeight="1">
      <c r="C395" s="9"/>
      <c r="D395" s="9"/>
      <c r="E395" s="9"/>
      <c r="F395" s="9"/>
      <c r="G395" s="9"/>
      <c r="H395" s="9"/>
      <c r="I395" s="9"/>
      <c r="J395" s="9"/>
      <c r="L395" s="8"/>
      <c r="M395" s="108"/>
      <c r="N395" s="9"/>
      <c r="O395" s="8"/>
      <c r="P395" s="8"/>
      <c r="Q395" s="108"/>
      <c r="R395" s="8"/>
      <c r="S395" s="8"/>
    </row>
    <row r="396" spans="1:19" ht="10.5" customHeight="1">
      <c r="A396" s="36">
        <v>22</v>
      </c>
      <c r="B396" s="32">
        <v>33</v>
      </c>
      <c r="C396" s="12" t="s">
        <v>705</v>
      </c>
      <c r="D396" s="9"/>
      <c r="E396" s="9"/>
      <c r="F396" s="9"/>
      <c r="G396" s="9"/>
      <c r="H396" s="9"/>
      <c r="I396" s="9"/>
      <c r="J396" s="9"/>
      <c r="L396" s="8"/>
      <c r="M396" s="108"/>
      <c r="N396" s="9"/>
      <c r="O396" s="8"/>
      <c r="P396" s="8"/>
      <c r="Q396" s="108"/>
      <c r="R396" s="8"/>
      <c r="S396" s="8"/>
    </row>
    <row r="397" spans="1:19" ht="12.75">
      <c r="A397" s="36"/>
      <c r="B397" s="32"/>
      <c r="C397" s="12" t="s">
        <v>39</v>
      </c>
      <c r="D397" s="9"/>
      <c r="E397" s="9"/>
      <c r="F397" s="9"/>
      <c r="G397" s="9"/>
      <c r="H397" s="33"/>
      <c r="I397" s="33"/>
      <c r="J397" s="33"/>
      <c r="K397" s="33"/>
      <c r="L397" s="33" t="s">
        <v>320</v>
      </c>
      <c r="M397" s="108">
        <v>70440.6241</v>
      </c>
      <c r="N397" s="9"/>
      <c r="O397" s="8">
        <v>57301.48861</v>
      </c>
      <c r="P397" s="8"/>
      <c r="Q397" s="108">
        <v>0</v>
      </c>
      <c r="R397" s="8"/>
      <c r="S397" s="8">
        <v>0</v>
      </c>
    </row>
    <row r="398" spans="3:19" ht="9" customHeight="1">
      <c r="C398" s="9"/>
      <c r="D398" s="9"/>
      <c r="E398" s="9"/>
      <c r="F398" s="9"/>
      <c r="G398" s="9"/>
      <c r="H398" s="9"/>
      <c r="I398" s="9"/>
      <c r="J398" s="9"/>
      <c r="L398" s="8"/>
      <c r="M398" s="108"/>
      <c r="N398" s="9"/>
      <c r="O398" s="8"/>
      <c r="P398" s="8"/>
      <c r="Q398" s="108"/>
      <c r="R398" s="8"/>
      <c r="S398" s="8"/>
    </row>
    <row r="399" spans="1:19" ht="12.75">
      <c r="A399" s="36">
        <v>23</v>
      </c>
      <c r="B399" s="32">
        <v>34</v>
      </c>
      <c r="C399" s="12" t="s">
        <v>40</v>
      </c>
      <c r="E399" s="33"/>
      <c r="F399" s="33"/>
      <c r="G399" s="33"/>
      <c r="H399" s="33"/>
      <c r="I399" s="33"/>
      <c r="J399" s="33"/>
      <c r="K399" s="33"/>
      <c r="L399" s="33" t="s">
        <v>320</v>
      </c>
      <c r="M399" s="108">
        <v>3853192.15224</v>
      </c>
      <c r="N399" s="8"/>
      <c r="O399" s="8">
        <v>3763482.93598</v>
      </c>
      <c r="P399" s="8"/>
      <c r="Q399" s="108">
        <v>0</v>
      </c>
      <c r="R399" s="8"/>
      <c r="S399" s="8">
        <v>0</v>
      </c>
    </row>
    <row r="400" spans="12:19" ht="9" customHeight="1">
      <c r="L400" s="8"/>
      <c r="M400" s="108"/>
      <c r="N400" s="8"/>
      <c r="O400" s="8"/>
      <c r="P400" s="8"/>
      <c r="Q400" s="108"/>
      <c r="R400" s="8"/>
      <c r="S400" s="8"/>
    </row>
    <row r="401" spans="3:19" ht="12.75">
      <c r="C401" s="12" t="s">
        <v>41</v>
      </c>
      <c r="G401" s="33"/>
      <c r="H401" s="33"/>
      <c r="I401" s="33"/>
      <c r="J401" s="33"/>
      <c r="K401" s="33"/>
      <c r="L401" s="33" t="s">
        <v>320</v>
      </c>
      <c r="M401" s="108">
        <v>95191.16794</v>
      </c>
      <c r="N401" s="8"/>
      <c r="O401" s="8">
        <v>55990.70881</v>
      </c>
      <c r="P401" s="8"/>
      <c r="Q401" s="108">
        <v>49711.425</v>
      </c>
      <c r="R401" s="8"/>
      <c r="S401" s="8">
        <f>19884.585+64.52</f>
        <v>19949.105</v>
      </c>
    </row>
    <row r="402" spans="12:19" ht="9" customHeight="1">
      <c r="L402" s="8"/>
      <c r="M402" s="108"/>
      <c r="N402" s="8"/>
      <c r="O402" s="8"/>
      <c r="P402" s="8"/>
      <c r="Q402" s="108"/>
      <c r="R402" s="8"/>
      <c r="S402" s="8"/>
    </row>
    <row r="403" spans="3:19" ht="12.75">
      <c r="C403" s="12" t="s">
        <v>42</v>
      </c>
      <c r="D403" s="9"/>
      <c r="E403" s="9"/>
      <c r="F403" s="9"/>
      <c r="G403" s="9"/>
      <c r="I403" s="33"/>
      <c r="J403" s="33"/>
      <c r="K403" s="33"/>
      <c r="L403" s="33" t="s">
        <v>320</v>
      </c>
      <c r="M403" s="108">
        <v>3.47698</v>
      </c>
      <c r="N403" s="9"/>
      <c r="O403" s="8">
        <v>16.31772</v>
      </c>
      <c r="P403" s="8"/>
      <c r="Q403" s="108">
        <f>3.47698+29.82</f>
        <v>33.29698</v>
      </c>
      <c r="R403" s="8"/>
      <c r="S403" s="8">
        <v>15.82</v>
      </c>
    </row>
    <row r="404" spans="12:19" ht="9" customHeight="1">
      <c r="L404" s="8"/>
      <c r="M404" s="108"/>
      <c r="N404" s="8"/>
      <c r="O404" s="8"/>
      <c r="P404" s="8"/>
      <c r="Q404" s="108"/>
      <c r="R404" s="8"/>
      <c r="S404" s="8"/>
    </row>
    <row r="405" spans="2:19" ht="12.75">
      <c r="B405" s="32">
        <v>24</v>
      </c>
      <c r="C405" s="12" t="s">
        <v>43</v>
      </c>
      <c r="D405" s="9"/>
      <c r="E405" s="9"/>
      <c r="F405" s="9"/>
      <c r="K405" s="33"/>
      <c r="L405" s="33" t="s">
        <v>320</v>
      </c>
      <c r="M405" s="108">
        <v>4227.91202</v>
      </c>
      <c r="N405" s="9"/>
      <c r="O405" s="8">
        <v>4917.54528</v>
      </c>
      <c r="P405" s="8"/>
      <c r="Q405" s="108">
        <v>75</v>
      </c>
      <c r="R405" s="8"/>
      <c r="S405" s="8">
        <v>75</v>
      </c>
    </row>
    <row r="406" spans="3:19" ht="9" customHeight="1">
      <c r="C406" s="9"/>
      <c r="D406" s="9"/>
      <c r="E406" s="9"/>
      <c r="F406" s="9"/>
      <c r="L406" s="8"/>
      <c r="M406" s="108"/>
      <c r="N406" s="9"/>
      <c r="O406" s="8"/>
      <c r="P406" s="8"/>
      <c r="Q406" s="108"/>
      <c r="R406" s="8"/>
      <c r="S406" s="8"/>
    </row>
    <row r="407" spans="1:19" ht="12.75">
      <c r="A407" s="36">
        <v>1</v>
      </c>
      <c r="B407" s="32">
        <v>2</v>
      </c>
      <c r="C407" s="12" t="s">
        <v>44</v>
      </c>
      <c r="L407" s="8"/>
      <c r="M407" s="108"/>
      <c r="N407" s="8"/>
      <c r="O407" s="8"/>
      <c r="P407" s="8"/>
      <c r="Q407" s="108"/>
      <c r="R407" s="8"/>
      <c r="S407" s="8"/>
    </row>
    <row r="408" spans="3:19" ht="12.75">
      <c r="C408" s="12" t="s">
        <v>45</v>
      </c>
      <c r="D408" s="9"/>
      <c r="E408" s="9"/>
      <c r="F408" s="33"/>
      <c r="G408" s="33"/>
      <c r="H408" s="33"/>
      <c r="I408" s="33"/>
      <c r="J408" s="33"/>
      <c r="K408" s="33"/>
      <c r="L408" s="33" t="s">
        <v>320</v>
      </c>
      <c r="M408" s="108">
        <v>271580</v>
      </c>
      <c r="N408" s="9"/>
      <c r="O408" s="8">
        <v>271580</v>
      </c>
      <c r="P408" s="8"/>
      <c r="Q408" s="108">
        <v>271580</v>
      </c>
      <c r="R408" s="8"/>
      <c r="S408" s="8">
        <v>271580</v>
      </c>
    </row>
    <row r="409" spans="3:19" ht="12.75">
      <c r="C409" s="12" t="s">
        <v>46</v>
      </c>
      <c r="I409" s="33"/>
      <c r="J409" s="33"/>
      <c r="K409" s="33"/>
      <c r="L409" s="33" t="s">
        <v>320</v>
      </c>
      <c r="M409" s="108">
        <v>1312321.63508</v>
      </c>
      <c r="N409" s="8"/>
      <c r="O409" s="8">
        <v>1265071.01372</v>
      </c>
      <c r="P409" s="8"/>
      <c r="Q409" s="108">
        <v>1303333.46769</v>
      </c>
      <c r="R409" s="8"/>
      <c r="S409" s="8">
        <v>1256354.65157</v>
      </c>
    </row>
    <row r="410" spans="3:19" ht="12.75">
      <c r="C410" s="12" t="s">
        <v>47</v>
      </c>
      <c r="H410" s="33"/>
      <c r="I410" s="33"/>
      <c r="J410" s="33"/>
      <c r="K410" s="33"/>
      <c r="L410" s="33" t="s">
        <v>320</v>
      </c>
      <c r="M410" s="109">
        <f>M408+M409</f>
        <v>1583901.63508</v>
      </c>
      <c r="N410" s="8"/>
      <c r="O410" s="39">
        <f>O408+O409</f>
        <v>1536651.01372</v>
      </c>
      <c r="P410" s="8"/>
      <c r="Q410" s="109">
        <f>Q408+Q409</f>
        <v>1574913.46769</v>
      </c>
      <c r="R410" s="8"/>
      <c r="S410" s="39">
        <f>S408+S409</f>
        <v>1527934.65157</v>
      </c>
    </row>
    <row r="411" spans="12:19" ht="9" customHeight="1">
      <c r="L411" s="8"/>
      <c r="M411" s="109"/>
      <c r="N411" s="8"/>
      <c r="O411" s="35"/>
      <c r="P411" s="8"/>
      <c r="Q411" s="109"/>
      <c r="R411" s="8"/>
      <c r="S411" s="35"/>
    </row>
    <row r="412" spans="3:19" ht="12.75">
      <c r="C412" s="12" t="s">
        <v>686</v>
      </c>
      <c r="L412" s="8"/>
      <c r="M412" s="108"/>
      <c r="N412" s="8"/>
      <c r="O412" s="8"/>
      <c r="P412" s="8"/>
      <c r="Q412" s="108"/>
      <c r="R412" s="8"/>
      <c r="S412" s="8"/>
    </row>
    <row r="413" spans="3:21" ht="12.75">
      <c r="C413" s="12" t="s">
        <v>48</v>
      </c>
      <c r="I413" s="33"/>
      <c r="J413" s="33"/>
      <c r="K413" s="33"/>
      <c r="L413" s="33" t="s">
        <v>320</v>
      </c>
      <c r="M413" s="108">
        <f>M410-Q410</f>
        <v>8988.167389999842</v>
      </c>
      <c r="N413" s="8"/>
      <c r="O413" s="12">
        <f>O410-S410</f>
        <v>8716.362149999943</v>
      </c>
      <c r="P413" s="8"/>
      <c r="Q413" s="108"/>
      <c r="R413" s="8"/>
      <c r="S413" s="8"/>
      <c r="U413" s="79">
        <f>M413*1000</f>
        <v>8988167.389999842</v>
      </c>
    </row>
    <row r="414" spans="12:19" ht="9" customHeight="1">
      <c r="L414" s="8"/>
      <c r="M414" s="109"/>
      <c r="N414" s="8"/>
      <c r="O414" s="35"/>
      <c r="P414" s="8"/>
      <c r="Q414" s="108"/>
      <c r="R414" s="8"/>
      <c r="S414" s="8"/>
    </row>
    <row r="415" spans="3:19" ht="12.75">
      <c r="C415" s="12" t="s">
        <v>49</v>
      </c>
      <c r="G415" s="33"/>
      <c r="H415" s="33"/>
      <c r="I415" s="33"/>
      <c r="J415" s="33"/>
      <c r="K415" s="33"/>
      <c r="L415" s="33" t="s">
        <v>320</v>
      </c>
      <c r="M415" s="108">
        <f>SUM(M397:M409)</f>
        <v>5606956.968360001</v>
      </c>
      <c r="N415" s="8"/>
      <c r="O415" s="12">
        <f>SUM(O397:O409)</f>
        <v>5418360.010120001</v>
      </c>
      <c r="P415" s="8"/>
      <c r="Q415" s="108">
        <f>SUM(Q397:Q409)</f>
        <v>1624733.1896700002</v>
      </c>
      <c r="R415" s="8"/>
      <c r="S415" s="12">
        <f>SUM(S397:S409)</f>
        <v>1547974.57657</v>
      </c>
    </row>
    <row r="416" spans="12:19" ht="10.5" customHeight="1">
      <c r="L416" s="8"/>
      <c r="M416" s="109"/>
      <c r="N416" s="8"/>
      <c r="O416" s="35"/>
      <c r="P416" s="8"/>
      <c r="Q416" s="109"/>
      <c r="R416" s="8"/>
      <c r="S416" s="35"/>
    </row>
    <row r="417" spans="3:19" ht="10.5" customHeight="1">
      <c r="C417" s="9"/>
      <c r="D417" s="9"/>
      <c r="E417" s="9"/>
      <c r="L417" s="8"/>
      <c r="M417" s="108"/>
      <c r="N417" s="9"/>
      <c r="O417" s="8"/>
      <c r="P417" s="8"/>
      <c r="Q417" s="108"/>
      <c r="R417" s="8"/>
      <c r="S417" s="8"/>
    </row>
    <row r="418" spans="3:19" ht="12.75">
      <c r="C418" s="9" t="s">
        <v>50</v>
      </c>
      <c r="D418" s="9"/>
      <c r="E418" s="9"/>
      <c r="L418" s="8"/>
      <c r="M418" s="108"/>
      <c r="N418" s="9"/>
      <c r="O418" s="8"/>
      <c r="P418" s="8"/>
      <c r="Q418" s="108"/>
      <c r="R418" s="8"/>
      <c r="S418" s="8"/>
    </row>
    <row r="419" spans="2:19" ht="12.75">
      <c r="B419" s="32">
        <v>3</v>
      </c>
      <c r="C419" s="12" t="s">
        <v>588</v>
      </c>
      <c r="D419" s="9"/>
      <c r="E419" s="9"/>
      <c r="G419" s="33"/>
      <c r="H419" s="33"/>
      <c r="I419" s="33"/>
      <c r="J419" s="33"/>
      <c r="K419" s="33"/>
      <c r="L419" s="33" t="s">
        <v>320</v>
      </c>
      <c r="M419" s="108">
        <v>147524.235</v>
      </c>
      <c r="N419" s="9"/>
      <c r="O419" s="8">
        <v>144191.2202</v>
      </c>
      <c r="P419" s="8"/>
      <c r="Q419" s="108">
        <v>0</v>
      </c>
      <c r="R419" s="8"/>
      <c r="S419" s="8">
        <v>0</v>
      </c>
    </row>
    <row r="420" spans="2:19" ht="15.75">
      <c r="B420" s="32">
        <v>4</v>
      </c>
      <c r="C420" s="14" t="s">
        <v>589</v>
      </c>
      <c r="D420" s="38"/>
      <c r="E420" s="38"/>
      <c r="F420" s="38"/>
      <c r="G420" s="33"/>
      <c r="H420" s="33"/>
      <c r="I420" s="33"/>
      <c r="J420" s="33"/>
      <c r="K420" s="33"/>
      <c r="L420" s="33" t="s">
        <v>320</v>
      </c>
      <c r="M420" s="108">
        <v>0</v>
      </c>
      <c r="N420" s="8"/>
      <c r="O420" s="12">
        <v>30250</v>
      </c>
      <c r="P420" s="8"/>
      <c r="Q420" s="108">
        <v>0</v>
      </c>
      <c r="R420" s="8"/>
      <c r="S420" s="12">
        <v>0</v>
      </c>
    </row>
    <row r="421" spans="13:19" ht="10.5" customHeight="1">
      <c r="M421" s="109"/>
      <c r="N421" s="8"/>
      <c r="O421" s="35"/>
      <c r="P421" s="8"/>
      <c r="Q421" s="109"/>
      <c r="R421" s="8"/>
      <c r="S421" s="35"/>
    </row>
    <row r="422" spans="3:19" ht="12.75">
      <c r="C422" s="12" t="s">
        <v>590</v>
      </c>
      <c r="D422" s="33"/>
      <c r="E422" s="33"/>
      <c r="F422" s="33"/>
      <c r="G422" s="33"/>
      <c r="H422" s="33"/>
      <c r="I422" s="33"/>
      <c r="J422" s="33"/>
      <c r="K422" s="33"/>
      <c r="L422" s="33" t="s">
        <v>320</v>
      </c>
      <c r="M422" s="125">
        <f>M419+M420</f>
        <v>147524.235</v>
      </c>
      <c r="N422" s="8"/>
      <c r="O422" s="123">
        <f>O419+O420</f>
        <v>174441.2202</v>
      </c>
      <c r="P422" s="8"/>
      <c r="Q422" s="125">
        <f>Q419+Q420</f>
        <v>0</v>
      </c>
      <c r="R422" s="8"/>
      <c r="S422" s="123">
        <f>S419+S420</f>
        <v>0</v>
      </c>
    </row>
    <row r="423" spans="1:23" ht="15.75">
      <c r="A423" s="40" t="s">
        <v>0</v>
      </c>
      <c r="B423" s="3"/>
      <c r="C423" s="3"/>
      <c r="D423" s="25"/>
      <c r="E423" s="25"/>
      <c r="F423" s="25"/>
      <c r="G423" s="3"/>
      <c r="H423" s="3"/>
      <c r="I423" s="3"/>
      <c r="J423" s="3"/>
      <c r="K423" s="3"/>
      <c r="L423" s="3"/>
      <c r="M423" s="82"/>
      <c r="N423" s="82"/>
      <c r="O423" s="82"/>
      <c r="P423" s="82"/>
      <c r="Q423" s="82"/>
      <c r="R423" s="82"/>
      <c r="S423" s="82"/>
      <c r="T423" s="8"/>
      <c r="U423" s="8"/>
      <c r="V423" s="8"/>
      <c r="W423" s="8"/>
    </row>
    <row r="424" spans="3:19" ht="12.75">
      <c r="C424" s="12" t="s">
        <v>114</v>
      </c>
      <c r="D424" s="9"/>
      <c r="E424" s="9"/>
      <c r="F424" s="9"/>
      <c r="Q424" s="30">
        <f>Q361</f>
        <v>2004</v>
      </c>
      <c r="S424" s="31">
        <f>S361</f>
        <v>2003</v>
      </c>
    </row>
    <row r="425" spans="2:17" ht="12.75">
      <c r="B425" s="32">
        <v>1</v>
      </c>
      <c r="C425" s="9" t="s">
        <v>591</v>
      </c>
      <c r="L425" s="8"/>
      <c r="P425" s="8"/>
      <c r="Q425" s="28"/>
    </row>
    <row r="426" spans="3:21" ht="12.75">
      <c r="C426" s="12" t="s">
        <v>719</v>
      </c>
      <c r="K426" s="33"/>
      <c r="L426" s="33"/>
      <c r="M426" s="33"/>
      <c r="N426" s="33"/>
      <c r="O426" s="33"/>
      <c r="P426" s="33" t="s">
        <v>320</v>
      </c>
      <c r="Q426" s="108">
        <v>1578023</v>
      </c>
      <c r="S426" s="8">
        <v>1530969</v>
      </c>
      <c r="U426" s="13">
        <f>S426-1507429</f>
        <v>23540</v>
      </c>
    </row>
    <row r="427" spans="3:21" ht="12.75">
      <c r="C427" s="12" t="s">
        <v>592</v>
      </c>
      <c r="L427" s="8"/>
      <c r="P427" s="8"/>
      <c r="Q427" s="108"/>
      <c r="S427" s="8"/>
      <c r="U427" s="13"/>
    </row>
    <row r="428" spans="3:21" ht="12.75">
      <c r="C428" s="12" t="s">
        <v>593</v>
      </c>
      <c r="D428" s="9"/>
      <c r="E428" s="9"/>
      <c r="F428" s="9"/>
      <c r="L428" s="33"/>
      <c r="M428" s="33"/>
      <c r="N428" s="33"/>
      <c r="O428" s="33"/>
      <c r="P428" s="33" t="s">
        <v>320</v>
      </c>
      <c r="Q428" s="108">
        <v>1544476</v>
      </c>
      <c r="S428" s="8">
        <v>1500027</v>
      </c>
      <c r="U428" s="13">
        <f>S428-1473487</f>
        <v>26540</v>
      </c>
    </row>
    <row r="429" spans="3:21" ht="12.75">
      <c r="C429" s="12" t="s">
        <v>594</v>
      </c>
      <c r="L429" s="8"/>
      <c r="P429" s="33" t="s">
        <v>320</v>
      </c>
      <c r="Q429" s="108">
        <v>2780688</v>
      </c>
      <c r="S429" s="8">
        <v>2708912</v>
      </c>
      <c r="U429" s="13">
        <f>S429-2708885</f>
        <v>27</v>
      </c>
    </row>
    <row r="430" spans="3:21" ht="12.75">
      <c r="C430" s="12" t="s">
        <v>595</v>
      </c>
      <c r="L430" s="8"/>
      <c r="M430" s="33"/>
      <c r="N430" s="33"/>
      <c r="O430" s="33"/>
      <c r="P430" s="33" t="s">
        <v>320</v>
      </c>
      <c r="Q430" s="108">
        <v>419336</v>
      </c>
      <c r="S430" s="8">
        <v>386779</v>
      </c>
      <c r="U430" s="13">
        <f>S430-386779</f>
        <v>0</v>
      </c>
    </row>
    <row r="431" spans="3:21" ht="12.75">
      <c r="C431" s="12" t="s">
        <v>596</v>
      </c>
      <c r="J431" s="33"/>
      <c r="K431" s="33"/>
      <c r="L431" s="33"/>
      <c r="M431" s="33"/>
      <c r="N431" s="33"/>
      <c r="O431" s="33"/>
      <c r="P431" s="33" t="s">
        <v>320</v>
      </c>
      <c r="Q431" s="108">
        <v>3281497</v>
      </c>
      <c r="S431" s="8">
        <v>3192248</v>
      </c>
      <c r="U431" s="13">
        <f>S431-3192221</f>
        <v>27</v>
      </c>
    </row>
    <row r="432" spans="3:21" ht="12.75">
      <c r="C432" s="12" t="s">
        <v>597</v>
      </c>
      <c r="L432" s="8"/>
      <c r="P432" s="8"/>
      <c r="Q432" s="108"/>
      <c r="U432" s="13"/>
    </row>
    <row r="433" spans="3:21" ht="12.75">
      <c r="C433" s="12" t="s">
        <v>598</v>
      </c>
      <c r="D433" s="9"/>
      <c r="E433" s="9"/>
      <c r="F433" s="9"/>
      <c r="K433" s="33"/>
      <c r="L433" s="33"/>
      <c r="M433" s="33"/>
      <c r="N433" s="33"/>
      <c r="O433" s="33"/>
      <c r="P433" s="33" t="s">
        <v>320</v>
      </c>
      <c r="Q433" s="110">
        <v>48.18</v>
      </c>
      <c r="S433" s="17">
        <v>48.053</v>
      </c>
      <c r="U433" s="13"/>
    </row>
    <row r="434" spans="3:21" ht="12.75">
      <c r="C434" s="12" t="s">
        <v>599</v>
      </c>
      <c r="L434" s="8"/>
      <c r="N434" s="33"/>
      <c r="O434" s="33"/>
      <c r="P434" s="33" t="s">
        <v>320</v>
      </c>
      <c r="Q434" s="110">
        <v>48.088</v>
      </c>
      <c r="S434" s="17">
        <v>47.959</v>
      </c>
      <c r="U434" s="13"/>
    </row>
    <row r="435" spans="12:17" ht="12.75">
      <c r="L435" s="8"/>
      <c r="P435" s="8"/>
      <c r="Q435" s="108"/>
    </row>
    <row r="436" spans="3:17" ht="12.75">
      <c r="C436" s="12" t="s">
        <v>600</v>
      </c>
      <c r="L436" s="8"/>
      <c r="P436" s="8"/>
      <c r="Q436" s="28"/>
    </row>
    <row r="437" spans="3:17" ht="12.75">
      <c r="C437" s="12" t="s">
        <v>601</v>
      </c>
      <c r="L437" s="8"/>
      <c r="P437" s="8"/>
      <c r="Q437" s="28"/>
    </row>
    <row r="438" spans="3:17" ht="12.75">
      <c r="C438" s="12" t="s">
        <v>602</v>
      </c>
      <c r="D438" s="9"/>
      <c r="E438" s="9"/>
      <c r="F438" s="9"/>
      <c r="L438" s="8"/>
      <c r="P438" s="8"/>
      <c r="Q438" s="28"/>
    </row>
    <row r="439" spans="3:17" ht="12.75">
      <c r="C439" s="12" t="s">
        <v>603</v>
      </c>
      <c r="D439" s="9"/>
      <c r="E439" s="9"/>
      <c r="F439" s="9"/>
      <c r="L439" s="8"/>
      <c r="P439" s="8"/>
      <c r="Q439" s="28"/>
    </row>
    <row r="440" spans="12:17" ht="12.75">
      <c r="L440" s="8"/>
      <c r="P440" s="8"/>
      <c r="Q440" s="28"/>
    </row>
    <row r="441" spans="2:19" ht="12.75">
      <c r="B441" s="32">
        <v>2</v>
      </c>
      <c r="C441" s="9" t="s">
        <v>44</v>
      </c>
      <c r="L441" s="8"/>
      <c r="O441" s="32" t="s">
        <v>344</v>
      </c>
      <c r="P441" s="32"/>
      <c r="Q441" s="42" t="s">
        <v>358</v>
      </c>
      <c r="R441" s="32"/>
      <c r="S441" s="32" t="s">
        <v>370</v>
      </c>
    </row>
    <row r="442" spans="12:19" ht="12.75">
      <c r="L442" s="8"/>
      <c r="O442" s="32" t="s">
        <v>151</v>
      </c>
      <c r="P442" s="32"/>
      <c r="Q442" s="42" t="s">
        <v>359</v>
      </c>
      <c r="R442" s="32"/>
      <c r="S442" s="32" t="s">
        <v>152</v>
      </c>
    </row>
    <row r="443" spans="3:19" ht="12.75">
      <c r="C443" s="12" t="s">
        <v>153</v>
      </c>
      <c r="L443" s="8"/>
      <c r="O443" s="32"/>
      <c r="P443" s="32"/>
      <c r="Q443" s="42" t="s">
        <v>360</v>
      </c>
      <c r="R443" s="32"/>
      <c r="S443" s="32"/>
    </row>
    <row r="444" spans="12:17" ht="12.75">
      <c r="L444" s="8"/>
      <c r="P444" s="8"/>
      <c r="Q444" s="28"/>
    </row>
    <row r="445" spans="3:21" ht="12.75">
      <c r="C445" s="12" t="s">
        <v>604</v>
      </c>
      <c r="G445" s="33"/>
      <c r="H445" s="33"/>
      <c r="I445" s="33"/>
      <c r="J445" s="33"/>
      <c r="K445" s="33"/>
      <c r="L445" s="33"/>
      <c r="N445" s="33" t="s">
        <v>320</v>
      </c>
      <c r="O445" s="115">
        <v>271580</v>
      </c>
      <c r="P445" s="115"/>
      <c r="Q445" s="108"/>
      <c r="R445" s="115"/>
      <c r="S445" s="115">
        <f>SUM(O445:Q445)</f>
        <v>271580</v>
      </c>
      <c r="U445" s="79"/>
    </row>
    <row r="446" spans="3:21" ht="12.75">
      <c r="C446" s="12" t="s">
        <v>74</v>
      </c>
      <c r="H446" s="33"/>
      <c r="I446" s="33"/>
      <c r="J446" s="33"/>
      <c r="K446" s="33"/>
      <c r="L446" s="33"/>
      <c r="N446" s="33" t="s">
        <v>320</v>
      </c>
      <c r="O446" s="114">
        <v>1265071.01372</v>
      </c>
      <c r="P446" s="114"/>
      <c r="Q446" s="108">
        <f>47539.22136-288.6</f>
        <v>47250.621360000005</v>
      </c>
      <c r="R446" s="114"/>
      <c r="S446" s="114">
        <f>SUM(O446:Q446)</f>
        <v>1312321.63508</v>
      </c>
      <c r="U446" s="80"/>
    </row>
    <row r="447" spans="3:21" ht="12.75">
      <c r="C447" s="12" t="s">
        <v>75</v>
      </c>
      <c r="I447" s="33"/>
      <c r="J447" s="33"/>
      <c r="K447" s="33"/>
      <c r="L447" s="33"/>
      <c r="N447" s="33" t="s">
        <v>320</v>
      </c>
      <c r="O447" s="135">
        <f>SUM(O445:O446)</f>
        <v>1536651.01372</v>
      </c>
      <c r="P447" s="115"/>
      <c r="Q447" s="109">
        <f>SUM(Q445:Q446)</f>
        <v>47250.621360000005</v>
      </c>
      <c r="R447" s="115"/>
      <c r="S447" s="135">
        <f>SUM(S445:S446)</f>
        <v>1583901.63508</v>
      </c>
      <c r="U447" s="79">
        <f>S447*1000</f>
        <v>1583901635.08</v>
      </c>
    </row>
    <row r="448" spans="12:21" ht="12.75">
      <c r="L448" s="8"/>
      <c r="O448" s="117"/>
      <c r="P448" s="115"/>
      <c r="Q448" s="109"/>
      <c r="R448" s="114"/>
      <c r="S448" s="117"/>
      <c r="U448" s="19">
        <v>1583901635.08</v>
      </c>
    </row>
    <row r="449" spans="3:21" ht="12.75">
      <c r="C449" s="12" t="s">
        <v>76</v>
      </c>
      <c r="I449" s="33"/>
      <c r="J449" s="33"/>
      <c r="K449" s="33"/>
      <c r="L449" s="33"/>
      <c r="M449" s="33"/>
      <c r="N449" s="33"/>
      <c r="O449" s="33"/>
      <c r="P449" s="33" t="s">
        <v>320</v>
      </c>
      <c r="Q449" s="108">
        <f>47539.22136-560.40524</f>
        <v>46978.81612</v>
      </c>
      <c r="U449" s="1">
        <f>U447-U448</f>
        <v>0</v>
      </c>
    </row>
    <row r="450" spans="3:21" ht="12.75">
      <c r="C450" s="12" t="s">
        <v>77</v>
      </c>
      <c r="L450" s="8"/>
      <c r="P450" s="8"/>
      <c r="Q450" s="108"/>
      <c r="U450" s="79"/>
    </row>
    <row r="451" spans="3:21" ht="12.75">
      <c r="C451" s="12" t="s">
        <v>78</v>
      </c>
      <c r="J451" s="33"/>
      <c r="K451" s="33"/>
      <c r="L451" s="33"/>
      <c r="M451" s="33"/>
      <c r="N451" s="33"/>
      <c r="O451" s="33"/>
      <c r="P451" s="33" t="s">
        <v>320</v>
      </c>
      <c r="Q451" s="108">
        <f>97090.30409*0.5772%</f>
        <v>560.40523520748</v>
      </c>
      <c r="U451" s="79"/>
    </row>
    <row r="452" spans="3:21" ht="12.75">
      <c r="C452" s="12" t="s">
        <v>79</v>
      </c>
      <c r="I452" s="33"/>
      <c r="J452" s="33"/>
      <c r="K452" s="33"/>
      <c r="L452" s="33"/>
      <c r="M452" s="33"/>
      <c r="N452" s="33"/>
      <c r="O452" s="33"/>
      <c r="P452" s="33" t="s">
        <v>320</v>
      </c>
      <c r="Q452" s="108">
        <f>(-50000*0.005772)</f>
        <v>-288.6</v>
      </c>
      <c r="U452" s="19"/>
    </row>
    <row r="453" spans="3:17" ht="12.75">
      <c r="C453" s="12" t="s">
        <v>80</v>
      </c>
      <c r="G453" s="33"/>
      <c r="H453" s="33"/>
      <c r="I453" s="33"/>
      <c r="J453" s="33"/>
      <c r="K453" s="33"/>
      <c r="L453" s="33"/>
      <c r="M453" s="33"/>
      <c r="N453" s="33"/>
      <c r="O453" s="33"/>
      <c r="P453" s="33" t="s">
        <v>320</v>
      </c>
      <c r="Q453" s="34">
        <f>SUM(Q449:Q452)</f>
        <v>47250.621355207484</v>
      </c>
    </row>
    <row r="454" spans="12:17" ht="12.75">
      <c r="L454" s="8"/>
      <c r="P454" s="8"/>
      <c r="Q454" s="34"/>
    </row>
    <row r="455" spans="3:19" ht="12.75">
      <c r="C455" s="12" t="s">
        <v>81</v>
      </c>
      <c r="L455" s="8"/>
      <c r="O455" s="8"/>
      <c r="P455" s="8"/>
      <c r="Q455" s="28"/>
      <c r="R455" s="8"/>
      <c r="S455" s="8"/>
    </row>
    <row r="456" spans="3:19" ht="12.75">
      <c r="C456" s="12" t="s">
        <v>82</v>
      </c>
      <c r="L456" s="8"/>
      <c r="O456" s="8"/>
      <c r="P456" s="8"/>
      <c r="Q456" s="28"/>
      <c r="R456" s="8"/>
      <c r="S456" s="8"/>
    </row>
    <row r="457" spans="3:21" ht="12.75">
      <c r="C457" s="12" t="s">
        <v>154</v>
      </c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 t="s">
        <v>320</v>
      </c>
      <c r="Q457" s="108">
        <f>O413</f>
        <v>8716.362149999943</v>
      </c>
      <c r="R457" s="8"/>
      <c r="S457" s="13"/>
      <c r="U457" s="79">
        <f>Q457*1000</f>
        <v>8716362.149999943</v>
      </c>
    </row>
    <row r="458" spans="3:19" ht="12.75">
      <c r="C458" s="12" t="s">
        <v>78</v>
      </c>
      <c r="I458" s="33"/>
      <c r="J458" s="33"/>
      <c r="K458" s="33"/>
      <c r="L458" s="33"/>
      <c r="M458" s="33"/>
      <c r="N458" s="33"/>
      <c r="O458" s="33"/>
      <c r="P458" s="33" t="s">
        <v>320</v>
      </c>
      <c r="Q458" s="108">
        <f>Q451</f>
        <v>560.40523520748</v>
      </c>
      <c r="R458" s="8"/>
      <c r="S458" s="13"/>
    </row>
    <row r="459" spans="3:19" ht="12.75">
      <c r="C459" s="12" t="s">
        <v>83</v>
      </c>
      <c r="I459" s="33"/>
      <c r="J459" s="33"/>
      <c r="K459" s="33"/>
      <c r="L459" s="33"/>
      <c r="M459" s="33"/>
      <c r="N459" s="33"/>
      <c r="O459" s="33"/>
      <c r="P459" s="33" t="s">
        <v>320</v>
      </c>
      <c r="Q459" s="108">
        <f>Q452</f>
        <v>-288.6</v>
      </c>
      <c r="R459" s="8"/>
      <c r="S459" s="13"/>
    </row>
    <row r="460" spans="3:21" ht="12.75">
      <c r="C460" s="12" t="s">
        <v>155</v>
      </c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 t="s">
        <v>320</v>
      </c>
      <c r="Q460" s="34">
        <f>SUM(Q457:Q459)</f>
        <v>8988.167385207422</v>
      </c>
      <c r="R460" s="8"/>
      <c r="S460" s="13"/>
      <c r="U460" s="79">
        <f>Q460*1000</f>
        <v>8988167.385207422</v>
      </c>
    </row>
    <row r="461" spans="12:21" ht="12.75">
      <c r="L461" s="8"/>
      <c r="O461" s="8"/>
      <c r="P461" s="8"/>
      <c r="Q461" s="34"/>
      <c r="R461" s="8"/>
      <c r="S461" s="8"/>
      <c r="U461" s="1">
        <v>8612560</v>
      </c>
    </row>
    <row r="462" spans="3:19" ht="12.75">
      <c r="C462" s="12" t="s">
        <v>84</v>
      </c>
      <c r="L462" s="8"/>
      <c r="O462" s="8"/>
      <c r="P462" s="8"/>
      <c r="Q462" s="28"/>
      <c r="R462" s="8"/>
      <c r="S462" s="8"/>
    </row>
    <row r="463" spans="3:21" ht="12.75">
      <c r="C463" s="12" t="s">
        <v>85</v>
      </c>
      <c r="L463" s="8"/>
      <c r="O463" s="8"/>
      <c r="P463" s="8"/>
      <c r="Q463" s="28"/>
      <c r="R463" s="8"/>
      <c r="S463" s="8"/>
      <c r="U463" s="1">
        <f>U460-U461</f>
        <v>375607.3852074221</v>
      </c>
    </row>
    <row r="464" spans="3:19" ht="12.75">
      <c r="C464" s="12" t="s">
        <v>86</v>
      </c>
      <c r="L464" s="8"/>
      <c r="O464" s="8"/>
      <c r="P464" s="8"/>
      <c r="Q464" s="28"/>
      <c r="R464" s="8"/>
      <c r="S464" s="8"/>
    </row>
    <row r="465" spans="12:19" ht="12.75">
      <c r="L465" s="8"/>
      <c r="O465" s="8"/>
      <c r="P465" s="8"/>
      <c r="Q465" s="28"/>
      <c r="R465" s="8"/>
      <c r="S465" s="8"/>
    </row>
    <row r="466" spans="2:19" ht="12.75">
      <c r="B466" s="32">
        <v>3</v>
      </c>
      <c r="C466" s="9" t="s">
        <v>87</v>
      </c>
      <c r="D466" s="9"/>
      <c r="E466" s="9"/>
      <c r="F466" s="9"/>
      <c r="L466" s="8"/>
      <c r="P466" s="8"/>
      <c r="Q466" s="30">
        <f>Q424</f>
        <v>2004</v>
      </c>
      <c r="S466" s="31">
        <f>S424</f>
        <v>2003</v>
      </c>
    </row>
    <row r="467" spans="3:17" ht="12.75">
      <c r="C467" s="12" t="s">
        <v>88</v>
      </c>
      <c r="L467" s="8"/>
      <c r="P467" s="8"/>
      <c r="Q467" s="108"/>
    </row>
    <row r="468" spans="3:19" ht="12.75">
      <c r="C468" s="12" t="s">
        <v>89</v>
      </c>
      <c r="D468" s="9"/>
      <c r="E468" s="9"/>
      <c r="F468" s="9"/>
      <c r="I468" s="33"/>
      <c r="J468" s="33"/>
      <c r="K468" s="33"/>
      <c r="L468" s="33"/>
      <c r="M468" s="33"/>
      <c r="N468" s="33"/>
      <c r="O468" s="33"/>
      <c r="P468" s="33" t="s">
        <v>320</v>
      </c>
      <c r="Q468" s="108">
        <v>11116</v>
      </c>
      <c r="R468" s="8"/>
      <c r="S468" s="8">
        <v>9168</v>
      </c>
    </row>
    <row r="469" spans="3:19" ht="12.75">
      <c r="C469" s="12" t="s">
        <v>90</v>
      </c>
      <c r="I469" s="33"/>
      <c r="J469" s="33"/>
      <c r="K469" s="33"/>
      <c r="L469" s="33"/>
      <c r="M469" s="33"/>
      <c r="N469" s="33"/>
      <c r="O469" s="33"/>
      <c r="P469" s="33" t="s">
        <v>320</v>
      </c>
      <c r="Q469" s="108">
        <v>136408</v>
      </c>
      <c r="R469" s="8"/>
      <c r="S469" s="8">
        <v>135023</v>
      </c>
    </row>
    <row r="470" spans="3:19" ht="12.75">
      <c r="C470" s="12" t="s">
        <v>91</v>
      </c>
      <c r="D470" s="9"/>
      <c r="E470" s="9"/>
      <c r="F470" s="9"/>
      <c r="I470" s="33"/>
      <c r="J470" s="33"/>
      <c r="K470" s="33"/>
      <c r="L470" s="33"/>
      <c r="M470" s="33"/>
      <c r="N470" s="33"/>
      <c r="O470" s="33"/>
      <c r="P470" s="33" t="s">
        <v>320</v>
      </c>
      <c r="Q470" s="34">
        <f>SUM(Q468:Q469)</f>
        <v>147524</v>
      </c>
      <c r="R470" s="8"/>
      <c r="S470" s="39">
        <f>SUM(S468:S469)</f>
        <v>144191</v>
      </c>
    </row>
    <row r="471" spans="3:19" ht="15.75">
      <c r="C471" s="38"/>
      <c r="D471" s="38"/>
      <c r="E471" s="38"/>
      <c r="F471" s="38"/>
      <c r="G471" s="38"/>
      <c r="H471" s="38"/>
      <c r="I471" s="38"/>
      <c r="J471" s="38"/>
      <c r="M471" s="38"/>
      <c r="Q471" s="109"/>
      <c r="S471" s="35"/>
    </row>
    <row r="472" spans="2:17" ht="12.75">
      <c r="B472" s="32">
        <v>4</v>
      </c>
      <c r="C472" s="9" t="s">
        <v>92</v>
      </c>
      <c r="Q472" s="108"/>
    </row>
    <row r="473" spans="3:19" ht="12.75">
      <c r="C473" s="12" t="s">
        <v>93</v>
      </c>
      <c r="M473" s="33"/>
      <c r="N473" s="33"/>
      <c r="O473" s="33"/>
      <c r="P473" s="33" t="s">
        <v>320</v>
      </c>
      <c r="Q473" s="108">
        <v>0</v>
      </c>
      <c r="R473" s="8"/>
      <c r="S473" s="8">
        <v>30250</v>
      </c>
    </row>
    <row r="474" spans="3:19" ht="12.75">
      <c r="C474" s="12" t="s">
        <v>787</v>
      </c>
      <c r="I474" s="33"/>
      <c r="J474" s="33"/>
      <c r="K474" s="33"/>
      <c r="L474" s="33"/>
      <c r="M474" s="33"/>
      <c r="N474" s="33"/>
      <c r="O474" s="33"/>
      <c r="P474" s="33" t="s">
        <v>320</v>
      </c>
      <c r="Q474" s="108">
        <v>0</v>
      </c>
      <c r="R474" s="8"/>
      <c r="S474" s="8">
        <v>0</v>
      </c>
    </row>
    <row r="475" spans="3:19" ht="12.75">
      <c r="C475" s="12" t="s">
        <v>217</v>
      </c>
      <c r="D475" s="9"/>
      <c r="E475" s="9"/>
      <c r="F475" s="9"/>
      <c r="I475" s="33"/>
      <c r="J475" s="33"/>
      <c r="K475" s="33"/>
      <c r="L475" s="33"/>
      <c r="M475" s="33"/>
      <c r="N475" s="33"/>
      <c r="O475" s="33"/>
      <c r="P475" s="33" t="s">
        <v>320</v>
      </c>
      <c r="Q475" s="120">
        <f>Q473+Q474</f>
        <v>0</v>
      </c>
      <c r="R475" s="8"/>
      <c r="S475" s="121">
        <f>S473+S474</f>
        <v>30250</v>
      </c>
    </row>
    <row r="476" spans="17:23" ht="12.75">
      <c r="Q476" s="108"/>
      <c r="T476" s="8"/>
      <c r="U476" s="8"/>
      <c r="V476" s="8"/>
      <c r="W476" s="8"/>
    </row>
    <row r="477" spans="2:17" ht="12.75">
      <c r="B477" s="32">
        <v>5</v>
      </c>
      <c r="C477" s="9" t="s">
        <v>218</v>
      </c>
      <c r="L477" s="8"/>
      <c r="P477" s="8"/>
      <c r="Q477" s="108"/>
    </row>
    <row r="478" spans="3:19" ht="12.75">
      <c r="C478" s="12" t="s">
        <v>219</v>
      </c>
      <c r="L478" s="8"/>
      <c r="P478" s="33" t="s">
        <v>320</v>
      </c>
      <c r="Q478" s="108">
        <v>4708.5</v>
      </c>
      <c r="S478" s="8">
        <v>5994</v>
      </c>
    </row>
    <row r="479" spans="3:19" ht="12.75">
      <c r="C479" s="12" t="s">
        <v>220</v>
      </c>
      <c r="D479" s="9"/>
      <c r="E479" s="9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 t="s">
        <v>320</v>
      </c>
      <c r="Q479" s="108">
        <v>235628.5</v>
      </c>
      <c r="S479" s="8">
        <v>239678</v>
      </c>
    </row>
    <row r="480" spans="3:20" ht="12.75">
      <c r="C480" s="12" t="s">
        <v>221</v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 t="s">
        <v>320</v>
      </c>
      <c r="Q480" s="108">
        <f>56540+263</f>
        <v>56803</v>
      </c>
      <c r="S480" s="8">
        <v>68329</v>
      </c>
      <c r="T480" s="1">
        <f>M314-Q486</f>
        <v>0.051029999973252416</v>
      </c>
    </row>
    <row r="481" spans="3:19" ht="12.75">
      <c r="C481" s="12" t="s">
        <v>222</v>
      </c>
      <c r="J481" s="33"/>
      <c r="K481" s="33"/>
      <c r="L481" s="33"/>
      <c r="M481" s="33"/>
      <c r="N481" s="33"/>
      <c r="O481" s="33"/>
      <c r="P481" s="33" t="s">
        <v>320</v>
      </c>
      <c r="Q481" s="108">
        <v>-4358</v>
      </c>
      <c r="S481" s="8">
        <v>-4230</v>
      </c>
    </row>
    <row r="482" spans="3:19" ht="12.75">
      <c r="C482" s="12" t="s">
        <v>223</v>
      </c>
      <c r="L482" s="8"/>
      <c r="P482" s="8"/>
      <c r="Q482" s="108"/>
      <c r="S482" s="8"/>
    </row>
    <row r="483" spans="3:19" ht="12.75">
      <c r="C483" s="12" t="s">
        <v>224</v>
      </c>
      <c r="L483" s="8"/>
      <c r="P483" s="33" t="s">
        <v>320</v>
      </c>
      <c r="Q483" s="108">
        <v>382</v>
      </c>
      <c r="S483" s="8">
        <v>403</v>
      </c>
    </row>
    <row r="484" spans="3:19" ht="12.75">
      <c r="C484" s="12" t="s">
        <v>225</v>
      </c>
      <c r="L484" s="8"/>
      <c r="P484" s="33" t="s">
        <v>320</v>
      </c>
      <c r="Q484" s="108">
        <v>-4740</v>
      </c>
      <c r="S484" s="8">
        <v>-4633</v>
      </c>
    </row>
    <row r="485" spans="3:19" ht="12.75">
      <c r="C485" s="12" t="s">
        <v>226</v>
      </c>
      <c r="D485" s="9"/>
      <c r="E485" s="9"/>
      <c r="F485" s="9"/>
      <c r="H485" s="33"/>
      <c r="I485" s="33"/>
      <c r="J485" s="33"/>
      <c r="K485" s="33"/>
      <c r="L485" s="33"/>
      <c r="M485" s="33"/>
      <c r="N485" s="33"/>
      <c r="O485" s="33"/>
      <c r="P485" s="33" t="s">
        <v>320</v>
      </c>
      <c r="Q485" s="108">
        <v>4</v>
      </c>
      <c r="S485" s="8">
        <v>0</v>
      </c>
    </row>
    <row r="486" spans="3:19" ht="12.75">
      <c r="C486" s="12" t="s">
        <v>227</v>
      </c>
      <c r="H486" s="33"/>
      <c r="I486" s="33"/>
      <c r="J486" s="33"/>
      <c r="K486" s="33"/>
      <c r="L486" s="33"/>
      <c r="M486" s="33"/>
      <c r="N486" s="33"/>
      <c r="O486" s="33"/>
      <c r="P486" s="33" t="s">
        <v>320</v>
      </c>
      <c r="Q486" s="34">
        <f>SUM(Q478:Q481)+Q485</f>
        <v>292786</v>
      </c>
      <c r="S486" s="39">
        <f>SUM(S478:S481)</f>
        <v>309771</v>
      </c>
    </row>
    <row r="487" spans="3:19" ht="7.5" customHeight="1">
      <c r="C487" s="9"/>
      <c r="D487" s="9"/>
      <c r="E487" s="9"/>
      <c r="F487" s="9"/>
      <c r="L487" s="8"/>
      <c r="P487" s="8"/>
      <c r="Q487" s="109"/>
      <c r="S487" s="35"/>
    </row>
    <row r="488" spans="3:19" ht="12.75">
      <c r="C488" s="12" t="s">
        <v>228</v>
      </c>
      <c r="L488" s="8"/>
      <c r="P488" s="8"/>
      <c r="Q488" s="108"/>
      <c r="S488" s="8"/>
    </row>
    <row r="489" spans="3:19" ht="12.75">
      <c r="C489" s="12" t="s">
        <v>229</v>
      </c>
      <c r="D489" s="9"/>
      <c r="E489" s="9"/>
      <c r="F489" s="9"/>
      <c r="L489" s="8"/>
      <c r="P489" s="8"/>
      <c r="Q489" s="108">
        <v>0</v>
      </c>
      <c r="S489" s="8">
        <v>0</v>
      </c>
    </row>
    <row r="490" spans="1:19" ht="15.75">
      <c r="A490" s="7" t="s">
        <v>0</v>
      </c>
      <c r="B490" s="3"/>
      <c r="C490" s="3"/>
      <c r="D490" s="25"/>
      <c r="E490" s="25"/>
      <c r="F490" s="2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82"/>
      <c r="R490" s="82"/>
      <c r="S490" s="82"/>
    </row>
    <row r="491" spans="12:17" ht="9.75" customHeight="1">
      <c r="L491" s="8"/>
      <c r="P491" s="8"/>
      <c r="Q491" s="3"/>
    </row>
    <row r="492" spans="3:19" ht="12.75">
      <c r="C492" s="12" t="s">
        <v>114</v>
      </c>
      <c r="L492" s="8"/>
      <c r="P492" s="8"/>
      <c r="Q492" s="44">
        <f>Q466</f>
        <v>2004</v>
      </c>
      <c r="S492" s="10">
        <f>S466</f>
        <v>2003</v>
      </c>
    </row>
    <row r="493" spans="2:19" ht="12.75">
      <c r="B493" s="32">
        <v>6</v>
      </c>
      <c r="C493" s="9" t="s">
        <v>230</v>
      </c>
      <c r="L493" s="8"/>
      <c r="P493" s="8"/>
      <c r="Q493" s="108"/>
      <c r="S493" s="8"/>
    </row>
    <row r="494" spans="3:19" ht="12.75">
      <c r="C494" s="12" t="s">
        <v>231</v>
      </c>
      <c r="L494" s="33"/>
      <c r="M494" s="33"/>
      <c r="N494" s="33"/>
      <c r="O494" s="33"/>
      <c r="P494" s="33" t="s">
        <v>320</v>
      </c>
      <c r="Q494" s="108">
        <v>684</v>
      </c>
      <c r="S494" s="8">
        <v>916</v>
      </c>
    </row>
    <row r="495" spans="3:19" ht="12.75">
      <c r="C495" s="12" t="s">
        <v>232</v>
      </c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 t="s">
        <v>320</v>
      </c>
      <c r="Q495" s="108">
        <f>57277-473</f>
        <v>56804</v>
      </c>
      <c r="S495" s="8">
        <v>61755</v>
      </c>
    </row>
    <row r="496" spans="3:20" ht="12.75">
      <c r="C496" s="12" t="s">
        <v>233</v>
      </c>
      <c r="I496" s="33"/>
      <c r="J496" s="33"/>
      <c r="K496" s="33"/>
      <c r="L496" s="33"/>
      <c r="M496" s="33"/>
      <c r="N496" s="33"/>
      <c r="O496" s="33"/>
      <c r="P496" s="33" t="s">
        <v>320</v>
      </c>
      <c r="Q496" s="34">
        <f>SUM(Q494:Q495)</f>
        <v>57488</v>
      </c>
      <c r="S496" s="39">
        <f>SUM(S494:S495)</f>
        <v>62671</v>
      </c>
      <c r="T496" s="1">
        <f>Q496-M316</f>
        <v>-0.15724000000045635</v>
      </c>
    </row>
    <row r="497" spans="3:19" ht="9.75" customHeight="1">
      <c r="C497" s="9"/>
      <c r="D497" s="9"/>
      <c r="E497" s="9"/>
      <c r="F497" s="9"/>
      <c r="L497" s="8"/>
      <c r="P497" s="8"/>
      <c r="Q497" s="109"/>
      <c r="S497" s="35"/>
    </row>
    <row r="498" spans="3:19" ht="12.75">
      <c r="C498" s="12" t="s">
        <v>234</v>
      </c>
      <c r="L498" s="8"/>
      <c r="P498" s="8"/>
      <c r="Q498" s="108"/>
      <c r="S498" s="8"/>
    </row>
    <row r="499" spans="3:19" ht="12.75">
      <c r="C499" s="12" t="s">
        <v>235</v>
      </c>
      <c r="D499" s="9"/>
      <c r="E499" s="9"/>
      <c r="F499" s="9"/>
      <c r="L499" s="8"/>
      <c r="P499" s="8"/>
      <c r="Q499" s="108"/>
      <c r="S499" s="8"/>
    </row>
    <row r="500" spans="3:19" ht="12.75">
      <c r="C500" s="12" t="s">
        <v>231</v>
      </c>
      <c r="D500" s="9"/>
      <c r="E500" s="9"/>
      <c r="F500" s="9"/>
      <c r="L500" s="33"/>
      <c r="M500" s="33"/>
      <c r="N500" s="33"/>
      <c r="O500" s="33"/>
      <c r="P500" s="33" t="s">
        <v>320</v>
      </c>
      <c r="Q500" s="108">
        <v>107</v>
      </c>
      <c r="R500" s="43"/>
      <c r="S500" s="43">
        <v>381</v>
      </c>
    </row>
    <row r="501" spans="3:19" ht="12.75">
      <c r="C501" s="12" t="s">
        <v>236</v>
      </c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 t="s">
        <v>320</v>
      </c>
      <c r="Q501" s="108">
        <v>0</v>
      </c>
      <c r="R501" s="43"/>
      <c r="S501" s="43">
        <v>0</v>
      </c>
    </row>
    <row r="502" spans="3:19" ht="9.75" customHeight="1">
      <c r="C502" s="9"/>
      <c r="L502" s="8"/>
      <c r="P502" s="8"/>
      <c r="Q502" s="108"/>
      <c r="S502" s="8"/>
    </row>
    <row r="503" spans="2:19" ht="12.75">
      <c r="B503" s="32">
        <v>7</v>
      </c>
      <c r="C503" s="9" t="s">
        <v>237</v>
      </c>
      <c r="L503" s="8"/>
      <c r="P503" s="8"/>
      <c r="Q503" s="108"/>
      <c r="S503" s="8"/>
    </row>
    <row r="504" spans="3:19" ht="12.75">
      <c r="C504" s="12" t="s">
        <v>128</v>
      </c>
      <c r="D504" s="9"/>
      <c r="E504" s="9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 t="s">
        <v>320</v>
      </c>
      <c r="Q504" s="108">
        <v>497</v>
      </c>
      <c r="S504" s="8">
        <v>291</v>
      </c>
    </row>
    <row r="505" spans="3:19" ht="12.75">
      <c r="C505" s="12" t="s">
        <v>129</v>
      </c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 t="s">
        <v>320</v>
      </c>
      <c r="Q505" s="34">
        <f>SUM(Q504:Q504)</f>
        <v>497</v>
      </c>
      <c r="S505" s="39">
        <f>SUM(S504:S504)</f>
        <v>291</v>
      </c>
    </row>
    <row r="506" spans="12:19" ht="9.75" customHeight="1">
      <c r="L506" s="8"/>
      <c r="P506" s="8"/>
      <c r="Q506" s="109"/>
      <c r="S506" s="35"/>
    </row>
    <row r="507" spans="2:19" ht="12.75">
      <c r="B507" s="32">
        <v>8</v>
      </c>
      <c r="C507" s="9" t="s">
        <v>130</v>
      </c>
      <c r="L507" s="8"/>
      <c r="P507" s="8"/>
      <c r="Q507" s="108"/>
      <c r="S507" s="8"/>
    </row>
    <row r="508" spans="3:19" ht="12.75">
      <c r="C508" s="12" t="s">
        <v>131</v>
      </c>
      <c r="D508" s="9"/>
      <c r="E508" s="9"/>
      <c r="F508" s="9"/>
      <c r="H508" s="33"/>
      <c r="I508" s="33"/>
      <c r="J508" s="33"/>
      <c r="K508" s="33"/>
      <c r="L508" s="33"/>
      <c r="M508" s="33"/>
      <c r="N508" s="33"/>
      <c r="O508" s="33"/>
      <c r="P508" s="33" t="s">
        <v>320</v>
      </c>
      <c r="Q508" s="108">
        <f>-3834+88.6</f>
        <v>-3745.4</v>
      </c>
      <c r="S508" s="8">
        <f>-10295+16</f>
        <v>-10279</v>
      </c>
    </row>
    <row r="509" spans="3:19" ht="12.75">
      <c r="C509" s="12" t="s">
        <v>132</v>
      </c>
      <c r="H509" s="33"/>
      <c r="I509" s="33"/>
      <c r="J509" s="33"/>
      <c r="K509" s="33"/>
      <c r="L509" s="33"/>
      <c r="M509" s="33"/>
      <c r="N509" s="33"/>
      <c r="O509" s="33"/>
      <c r="P509" s="33" t="s">
        <v>320</v>
      </c>
      <c r="Q509" s="108">
        <v>954.6</v>
      </c>
      <c r="S509" s="8">
        <v>962</v>
      </c>
    </row>
    <row r="510" spans="3:19" ht="12.75">
      <c r="C510" s="12" t="s">
        <v>133</v>
      </c>
      <c r="H510" s="33"/>
      <c r="I510" s="33"/>
      <c r="J510" s="33"/>
      <c r="K510" s="33"/>
      <c r="L510" s="33"/>
      <c r="M510" s="33"/>
      <c r="N510" s="33"/>
      <c r="O510" s="33"/>
      <c r="P510" s="33" t="s">
        <v>320</v>
      </c>
      <c r="Q510" s="108">
        <v>0</v>
      </c>
      <c r="S510" s="8">
        <v>0</v>
      </c>
    </row>
    <row r="511" spans="3:19" ht="12.75">
      <c r="C511" s="12" t="s">
        <v>134</v>
      </c>
      <c r="G511" s="33"/>
      <c r="H511" s="33"/>
      <c r="I511" s="33"/>
      <c r="J511" s="33"/>
      <c r="K511" s="33"/>
      <c r="L511" s="33"/>
      <c r="M511" s="33"/>
      <c r="N511" s="33"/>
      <c r="O511" s="33"/>
      <c r="P511" s="33" t="s">
        <v>320</v>
      </c>
      <c r="Q511" s="108">
        <v>5118</v>
      </c>
      <c r="S511" s="8">
        <v>3186</v>
      </c>
    </row>
    <row r="512" spans="3:19" ht="12.75">
      <c r="C512" s="12" t="s">
        <v>135</v>
      </c>
      <c r="J512" s="33"/>
      <c r="K512" s="33"/>
      <c r="L512" s="33"/>
      <c r="M512" s="33"/>
      <c r="N512" s="33"/>
      <c r="O512" s="33"/>
      <c r="P512" s="33" t="s">
        <v>320</v>
      </c>
      <c r="Q512" s="108">
        <v>-1150</v>
      </c>
      <c r="S512" s="8">
        <v>664</v>
      </c>
    </row>
    <row r="513" spans="3:20" ht="15.75">
      <c r="C513" s="14" t="s">
        <v>136</v>
      </c>
      <c r="D513" s="38"/>
      <c r="E513" s="38"/>
      <c r="F513" s="38"/>
      <c r="J513" s="33"/>
      <c r="K513" s="33"/>
      <c r="L513" s="33"/>
      <c r="M513" s="33"/>
      <c r="N513" s="33"/>
      <c r="O513" s="33"/>
      <c r="P513" s="33" t="s">
        <v>320</v>
      </c>
      <c r="Q513" s="34">
        <f>SUM(Q508:Q512)</f>
        <v>1177.1999999999998</v>
      </c>
      <c r="S513" s="39">
        <f>SUM(S508:S512)</f>
        <v>-5467</v>
      </c>
      <c r="T513" s="1">
        <f>M329-Q513</f>
        <v>-0.30084999999985484</v>
      </c>
    </row>
    <row r="514" spans="3:19" ht="12.75">
      <c r="C514" s="12" t="s">
        <v>223</v>
      </c>
      <c r="Q514" s="109"/>
      <c r="S514" s="35"/>
    </row>
    <row r="515" spans="3:19" ht="12.75">
      <c r="C515" s="12" t="s">
        <v>224</v>
      </c>
      <c r="L515" s="8"/>
      <c r="P515" s="33" t="s">
        <v>320</v>
      </c>
      <c r="Q515" s="108">
        <v>-933</v>
      </c>
      <c r="S515" s="8">
        <v>664</v>
      </c>
    </row>
    <row r="516" spans="3:19" ht="12.75">
      <c r="C516" s="12" t="s">
        <v>225</v>
      </c>
      <c r="L516" s="8"/>
      <c r="P516" s="33" t="s">
        <v>320</v>
      </c>
      <c r="Q516" s="108">
        <v>-217</v>
      </c>
      <c r="S516" s="8">
        <v>0</v>
      </c>
    </row>
    <row r="517" spans="3:19" ht="12.75">
      <c r="C517" s="12" t="s">
        <v>137</v>
      </c>
      <c r="H517" s="33"/>
      <c r="I517" s="33"/>
      <c r="J517" s="33"/>
      <c r="K517" s="33"/>
      <c r="L517" s="33"/>
      <c r="M517" s="33"/>
      <c r="N517" s="33"/>
      <c r="O517" s="33"/>
      <c r="P517" s="33" t="s">
        <v>320</v>
      </c>
      <c r="Q517" s="108">
        <v>0</v>
      </c>
      <c r="S517" s="8">
        <v>0</v>
      </c>
    </row>
    <row r="518" spans="3:19" ht="12.75">
      <c r="C518" s="12"/>
      <c r="H518" s="33"/>
      <c r="I518" s="33"/>
      <c r="J518" s="33"/>
      <c r="K518" s="33"/>
      <c r="L518" s="33"/>
      <c r="M518" s="33"/>
      <c r="N518" s="33"/>
      <c r="O518" s="33"/>
      <c r="P518" s="33"/>
      <c r="Q518" s="34">
        <f>SUM(Q515:Q517)</f>
        <v>-1150</v>
      </c>
      <c r="S518" s="45">
        <f>SUM(S515:S517)</f>
        <v>664</v>
      </c>
    </row>
    <row r="519" spans="16:19" ht="9.75" customHeight="1">
      <c r="P519" s="8"/>
      <c r="Q519" s="109"/>
      <c r="S519" s="35"/>
    </row>
    <row r="520" spans="2:19" ht="12.75">
      <c r="B520" s="32">
        <v>9</v>
      </c>
      <c r="C520" s="9" t="s">
        <v>55</v>
      </c>
      <c r="P520" s="8"/>
      <c r="Q520" s="108"/>
      <c r="S520" s="8"/>
    </row>
    <row r="521" spans="3:20" ht="12.75">
      <c r="C521" s="12" t="s">
        <v>56</v>
      </c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 t="s">
        <v>320</v>
      </c>
      <c r="Q521" s="108">
        <v>0</v>
      </c>
      <c r="R521" s="105"/>
      <c r="S521" s="115">
        <v>0</v>
      </c>
      <c r="T521" s="1" t="s">
        <v>156</v>
      </c>
    </row>
    <row r="522" spans="3:19" ht="12.75">
      <c r="C522" s="12" t="s">
        <v>57</v>
      </c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 t="s">
        <v>320</v>
      </c>
      <c r="Q522" s="108">
        <v>360</v>
      </c>
      <c r="S522" s="8">
        <v>360</v>
      </c>
    </row>
    <row r="523" spans="3:19" ht="12.75">
      <c r="C523" s="12" t="s">
        <v>58</v>
      </c>
      <c r="D523" s="9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 t="s">
        <v>320</v>
      </c>
      <c r="Q523" s="34">
        <f>SUM(Q521:Q522)</f>
        <v>360</v>
      </c>
      <c r="S523" s="39">
        <f>SUM(S521:S522)</f>
        <v>360</v>
      </c>
    </row>
    <row r="524" spans="3:19" ht="9.75" customHeight="1">
      <c r="C524" s="9"/>
      <c r="D524" s="9"/>
      <c r="E524" s="9"/>
      <c r="F524" s="9"/>
      <c r="P524" s="8"/>
      <c r="Q524" s="109"/>
      <c r="S524" s="35"/>
    </row>
    <row r="525" spans="3:19" ht="12.75">
      <c r="C525" s="12" t="s">
        <v>59</v>
      </c>
      <c r="P525" s="8"/>
      <c r="Q525" s="108"/>
      <c r="S525" s="8"/>
    </row>
    <row r="526" spans="3:19" ht="12.75">
      <c r="C526" s="12" t="s">
        <v>60</v>
      </c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 t="s">
        <v>320</v>
      </c>
      <c r="Q526" s="108">
        <f>3410+600+59798+60</f>
        <v>63868</v>
      </c>
      <c r="S526" s="8">
        <f>58284+60+3282+600</f>
        <v>62226</v>
      </c>
    </row>
    <row r="527" spans="3:19" ht="12.75">
      <c r="C527" s="12" t="s">
        <v>61</v>
      </c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 t="s">
        <v>320</v>
      </c>
      <c r="Q527" s="108">
        <v>5116</v>
      </c>
      <c r="S527" s="8">
        <v>4822</v>
      </c>
    </row>
    <row r="528" spans="3:19" ht="12.75">
      <c r="C528" s="12" t="s">
        <v>62</v>
      </c>
      <c r="J528" s="33"/>
      <c r="K528" s="33"/>
      <c r="L528" s="33"/>
      <c r="M528" s="33"/>
      <c r="N528" s="33"/>
      <c r="O528" s="33"/>
      <c r="P528" s="33" t="s">
        <v>320</v>
      </c>
      <c r="Q528" s="108">
        <v>3919</v>
      </c>
      <c r="S528" s="12">
        <f>3906+5.572</f>
        <v>3911.572</v>
      </c>
    </row>
    <row r="529" spans="3:19" ht="12.75">
      <c r="C529" s="12" t="s">
        <v>63</v>
      </c>
      <c r="D529" s="9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 t="s">
        <v>320</v>
      </c>
      <c r="Q529" s="109">
        <f>SUM(Q526:Q528)</f>
        <v>72903</v>
      </c>
      <c r="S529" s="35">
        <f>SUM(S526:S528)</f>
        <v>70959.572</v>
      </c>
    </row>
    <row r="530" spans="3:19" ht="12.75">
      <c r="C530" s="12" t="s">
        <v>64</v>
      </c>
      <c r="D530" s="9"/>
      <c r="E530" s="9"/>
      <c r="F530" s="9"/>
      <c r="L530" s="33"/>
      <c r="M530" s="33"/>
      <c r="N530" s="33"/>
      <c r="O530" s="33"/>
      <c r="P530" s="33" t="s">
        <v>320</v>
      </c>
      <c r="Q530" s="108">
        <f>48930+204.724-30.4</f>
        <v>49104.324</v>
      </c>
      <c r="S530" s="8">
        <f>47048+208.00861-37</f>
        <v>47219.00861</v>
      </c>
    </row>
    <row r="531" spans="3:20" ht="12.75">
      <c r="C531" s="12" t="s">
        <v>65</v>
      </c>
      <c r="P531" s="33" t="s">
        <v>320</v>
      </c>
      <c r="Q531" s="34">
        <f>Q523+Q529+Q530</f>
        <v>122367.324</v>
      </c>
      <c r="S531" s="39">
        <f>S523+S529+S530</f>
        <v>118538.58061</v>
      </c>
      <c r="T531" s="1">
        <f>M336-Q531</f>
        <v>0.07884000000194646</v>
      </c>
    </row>
    <row r="532" spans="3:19" ht="12.75">
      <c r="C532" s="12"/>
      <c r="P532" s="33"/>
      <c r="Q532" s="34"/>
      <c r="S532" s="39"/>
    </row>
    <row r="533" spans="2:17" ht="12.75">
      <c r="B533" s="32">
        <v>10</v>
      </c>
      <c r="C533" s="9" t="s">
        <v>66</v>
      </c>
      <c r="D533" s="9"/>
      <c r="E533" s="9"/>
      <c r="F533" s="9"/>
      <c r="P533" s="8"/>
      <c r="Q533" s="28"/>
    </row>
    <row r="534" spans="3:17" ht="12.75">
      <c r="C534" s="9" t="s">
        <v>67</v>
      </c>
      <c r="P534" s="8"/>
      <c r="Q534" s="28"/>
    </row>
    <row r="535" spans="3:19" ht="12.75">
      <c r="C535" s="12" t="s">
        <v>68</v>
      </c>
      <c r="J535" s="33"/>
      <c r="K535" s="33"/>
      <c r="L535" s="33"/>
      <c r="M535" s="33"/>
      <c r="N535" s="33"/>
      <c r="O535" s="33"/>
      <c r="P535" s="33" t="s">
        <v>320</v>
      </c>
      <c r="Q535" s="108">
        <v>1244.4</v>
      </c>
      <c r="S535" s="8">
        <v>-653</v>
      </c>
    </row>
    <row r="536" spans="3:19" ht="12.75">
      <c r="C536" s="12" t="s">
        <v>69</v>
      </c>
      <c r="J536" s="33"/>
      <c r="K536" s="33"/>
      <c r="L536" s="33"/>
      <c r="M536" s="33"/>
      <c r="N536" s="33"/>
      <c r="O536" s="33"/>
      <c r="P536" s="33" t="s">
        <v>320</v>
      </c>
      <c r="Q536" s="108">
        <v>3694.4</v>
      </c>
      <c r="S536" s="8">
        <v>1623</v>
      </c>
    </row>
    <row r="537" spans="3:20" ht="12.75">
      <c r="C537" s="12" t="s">
        <v>70</v>
      </c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 t="s">
        <v>320</v>
      </c>
      <c r="Q537" s="34">
        <f>SUM(Q535:Q536)</f>
        <v>4938.8</v>
      </c>
      <c r="S537" s="39">
        <f>SUM(S535:S536)</f>
        <v>970</v>
      </c>
      <c r="T537" s="1">
        <f>M347-Q537</f>
        <v>-0.2970000000004802</v>
      </c>
    </row>
    <row r="538" spans="3:19" ht="12.75">
      <c r="C538" s="12"/>
      <c r="P538" s="8"/>
      <c r="Q538" s="111"/>
      <c r="S538" s="46"/>
    </row>
    <row r="539" spans="2:19" ht="12.75">
      <c r="B539" s="32">
        <v>11</v>
      </c>
      <c r="C539" s="9" t="s">
        <v>71</v>
      </c>
      <c r="D539" s="9"/>
      <c r="E539" s="9"/>
      <c r="F539" s="9"/>
      <c r="P539" s="8"/>
      <c r="Q539" s="108"/>
      <c r="S539" s="8"/>
    </row>
    <row r="540" spans="3:19" ht="12.75">
      <c r="C540" s="12" t="s">
        <v>72</v>
      </c>
      <c r="L540" s="33"/>
      <c r="M540" s="33"/>
      <c r="N540" s="33"/>
      <c r="O540" s="33"/>
      <c r="P540" s="33" t="s">
        <v>320</v>
      </c>
      <c r="Q540" s="108">
        <f>24266+29.82</f>
        <v>24295.82</v>
      </c>
      <c r="S540" s="8">
        <f>6655+62.22</f>
        <v>6717.22</v>
      </c>
    </row>
    <row r="541" spans="3:19" ht="12.75">
      <c r="C541" s="12" t="s">
        <v>73</v>
      </c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 t="s">
        <v>320</v>
      </c>
      <c r="Q541" s="108">
        <v>-197</v>
      </c>
      <c r="S541" s="8">
        <v>2552</v>
      </c>
    </row>
    <row r="542" spans="3:19" ht="12.75">
      <c r="C542" s="12" t="s">
        <v>768</v>
      </c>
      <c r="G542" s="33"/>
      <c r="H542" s="33"/>
      <c r="I542" s="33"/>
      <c r="J542" s="33"/>
      <c r="K542" s="33"/>
      <c r="L542" s="33"/>
      <c r="M542" s="33"/>
      <c r="N542" s="33"/>
      <c r="O542" s="33"/>
      <c r="P542" s="33" t="s">
        <v>320</v>
      </c>
      <c r="Q542" s="108">
        <v>0</v>
      </c>
      <c r="S542" s="8">
        <v>0</v>
      </c>
    </row>
    <row r="543" spans="3:19" ht="12.75">
      <c r="C543" s="12" t="s">
        <v>769</v>
      </c>
      <c r="L543" s="33"/>
      <c r="M543" s="33"/>
      <c r="N543" s="33"/>
      <c r="O543" s="33"/>
      <c r="P543" s="33" t="s">
        <v>320</v>
      </c>
      <c r="Q543" s="108">
        <v>7.6</v>
      </c>
      <c r="S543" s="8">
        <v>95</v>
      </c>
    </row>
    <row r="544" spans="3:20" ht="12.75">
      <c r="C544" s="12" t="s">
        <v>80</v>
      </c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 t="s">
        <v>320</v>
      </c>
      <c r="Q544" s="34">
        <f>SUM(Q540:Q543)</f>
        <v>24106.42</v>
      </c>
      <c r="S544" s="39">
        <f>SUM(S540:S543)</f>
        <v>9364.220000000001</v>
      </c>
      <c r="T544" s="1">
        <f>M351-Q544</f>
        <v>-0.18482999999832828</v>
      </c>
    </row>
    <row r="545" spans="16:19" ht="9.75" customHeight="1">
      <c r="P545" s="8"/>
      <c r="Q545" s="34"/>
      <c r="S545" s="35"/>
    </row>
    <row r="546" spans="2:17" ht="12.75">
      <c r="B546" s="32">
        <v>12</v>
      </c>
      <c r="C546" s="9" t="s">
        <v>770</v>
      </c>
      <c r="P546" s="8"/>
      <c r="Q546" s="28"/>
    </row>
    <row r="547" spans="3:17" ht="12.75">
      <c r="C547" s="12" t="s">
        <v>771</v>
      </c>
      <c r="P547" s="8"/>
      <c r="Q547" s="28"/>
    </row>
    <row r="548" spans="3:17" ht="12.75">
      <c r="C548" s="12" t="s">
        <v>772</v>
      </c>
      <c r="D548" s="9"/>
      <c r="E548" s="9"/>
      <c r="F548" s="9"/>
      <c r="P548" s="8"/>
      <c r="Q548" s="28"/>
    </row>
    <row r="549" spans="3:19" ht="12.75">
      <c r="C549" s="12" t="s">
        <v>773</v>
      </c>
      <c r="M549" s="47" t="s">
        <v>331</v>
      </c>
      <c r="N549" s="37"/>
      <c r="O549" s="37"/>
      <c r="P549" s="8"/>
      <c r="Q549" s="47" t="s">
        <v>361</v>
      </c>
      <c r="R549" s="3"/>
      <c r="S549" s="3"/>
    </row>
    <row r="550" spans="13:19" ht="12.75">
      <c r="M550" s="44">
        <f>Q555</f>
        <v>2004</v>
      </c>
      <c r="O550" s="10">
        <f>S555</f>
        <v>2003</v>
      </c>
      <c r="P550" s="8"/>
      <c r="Q550" s="44">
        <f>Q555</f>
        <v>2004</v>
      </c>
      <c r="S550" s="10">
        <f>S555</f>
        <v>2003</v>
      </c>
    </row>
    <row r="551" spans="3:20" ht="12.75">
      <c r="C551" s="12" t="s">
        <v>774</v>
      </c>
      <c r="D551" s="33"/>
      <c r="E551" s="33"/>
      <c r="F551" s="33"/>
      <c r="G551" s="33"/>
      <c r="H551" s="33"/>
      <c r="I551" s="33"/>
      <c r="J551" s="33"/>
      <c r="K551" s="33"/>
      <c r="L551" s="33" t="s">
        <v>320</v>
      </c>
      <c r="M551" s="108">
        <v>0</v>
      </c>
      <c r="N551" s="114"/>
      <c r="O551" s="115">
        <v>0</v>
      </c>
      <c r="P551" s="115"/>
      <c r="Q551" s="108">
        <v>0</v>
      </c>
      <c r="R551" s="114"/>
      <c r="S551" s="115">
        <v>0</v>
      </c>
      <c r="T551" s="1" t="s">
        <v>157</v>
      </c>
    </row>
    <row r="552" spans="3:20" ht="12.75">
      <c r="C552" s="12" t="s">
        <v>775</v>
      </c>
      <c r="D552" s="33"/>
      <c r="E552" s="33"/>
      <c r="F552" s="33"/>
      <c r="G552" s="33"/>
      <c r="H552" s="33"/>
      <c r="I552" s="33"/>
      <c r="J552" s="33"/>
      <c r="K552" s="33"/>
      <c r="L552" s="33" t="s">
        <v>320</v>
      </c>
      <c r="M552" s="108">
        <v>541.285</v>
      </c>
      <c r="N552" s="114"/>
      <c r="O552" s="115">
        <v>582.911</v>
      </c>
      <c r="P552" s="115"/>
      <c r="Q552" s="108">
        <v>1170</v>
      </c>
      <c r="R552" s="114"/>
      <c r="S552" s="115">
        <v>1260</v>
      </c>
      <c r="T552" s="1" t="s">
        <v>158</v>
      </c>
    </row>
    <row r="553" spans="13:19" ht="9.75" customHeight="1">
      <c r="M553" s="108"/>
      <c r="P553" s="8"/>
      <c r="Q553" s="108"/>
      <c r="S553" s="8"/>
    </row>
    <row r="554" spans="1:19" ht="15.75">
      <c r="A554" s="7" t="s">
        <v>0</v>
      </c>
      <c r="B554" s="3"/>
      <c r="C554" s="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3:19" ht="12.75">
      <c r="C555" s="12" t="s">
        <v>114</v>
      </c>
      <c r="P555" s="8"/>
      <c r="Q555" s="44">
        <f>Q492</f>
        <v>2004</v>
      </c>
      <c r="S555" s="10">
        <f>S492</f>
        <v>2003</v>
      </c>
    </row>
    <row r="556" spans="2:19" ht="12.75">
      <c r="B556" s="32">
        <v>13</v>
      </c>
      <c r="C556" s="9" t="s">
        <v>776</v>
      </c>
      <c r="P556" s="8"/>
      <c r="Q556" s="108"/>
      <c r="S556" s="8"/>
    </row>
    <row r="557" spans="3:19" ht="12.75">
      <c r="C557" s="12" t="s">
        <v>777</v>
      </c>
      <c r="D557" s="9"/>
      <c r="E557" s="9"/>
      <c r="F557" s="9"/>
      <c r="P557" s="8"/>
      <c r="Q557" s="108"/>
      <c r="S557" s="8"/>
    </row>
    <row r="558" spans="3:19" ht="12.75">
      <c r="C558" s="12" t="s">
        <v>778</v>
      </c>
      <c r="P558" s="8"/>
      <c r="Q558" s="108"/>
      <c r="S558" s="8"/>
    </row>
    <row r="559" spans="3:19" ht="12.75">
      <c r="C559" s="12" t="s">
        <v>779</v>
      </c>
      <c r="I559" s="33"/>
      <c r="J559" s="33"/>
      <c r="K559" s="33"/>
      <c r="L559" s="33"/>
      <c r="M559" s="33"/>
      <c r="N559" s="33"/>
      <c r="O559" s="33"/>
      <c r="P559" s="33" t="s">
        <v>320</v>
      </c>
      <c r="Q559" s="108">
        <f>1031+75</f>
        <v>1106</v>
      </c>
      <c r="S559" s="8">
        <f>981+90</f>
        <v>1071</v>
      </c>
    </row>
    <row r="560" spans="3:19" ht="12.75">
      <c r="C560" s="12" t="s">
        <v>780</v>
      </c>
      <c r="N560" s="33"/>
      <c r="O560" s="33"/>
      <c r="P560" s="33" t="s">
        <v>320</v>
      </c>
      <c r="Q560" s="108">
        <v>51</v>
      </c>
      <c r="S560" s="8">
        <v>15</v>
      </c>
    </row>
    <row r="561" spans="2:17" ht="8.25" customHeight="1">
      <c r="B561" s="32"/>
      <c r="P561" s="8"/>
      <c r="Q561" s="108"/>
    </row>
    <row r="562" spans="2:17" ht="12.75">
      <c r="B562" s="32">
        <v>14</v>
      </c>
      <c r="C562" s="9" t="s">
        <v>781</v>
      </c>
      <c r="P562" s="8"/>
      <c r="Q562" s="108"/>
    </row>
    <row r="563" spans="3:17" ht="12.75">
      <c r="C563" s="12" t="s">
        <v>782</v>
      </c>
      <c r="P563" s="8"/>
      <c r="Q563" s="108"/>
    </row>
    <row r="564" spans="3:19" ht="12.75">
      <c r="C564" s="12" t="s">
        <v>783</v>
      </c>
      <c r="N564" s="33"/>
      <c r="O564" s="33"/>
      <c r="P564" s="33" t="s">
        <v>320</v>
      </c>
      <c r="Q564" s="110">
        <v>201.5</v>
      </c>
      <c r="R564" s="48"/>
      <c r="S564" s="49">
        <v>204.1</v>
      </c>
    </row>
    <row r="565" spans="16:17" ht="8.25" customHeight="1">
      <c r="P565" s="8"/>
      <c r="Q565" s="108"/>
    </row>
    <row r="566" spans="2:17" ht="15.75">
      <c r="B566" s="32">
        <v>15</v>
      </c>
      <c r="C566" s="50" t="s">
        <v>784</v>
      </c>
      <c r="D566" s="38"/>
      <c r="E566" s="38"/>
      <c r="F566" s="38"/>
      <c r="Q566" s="108"/>
    </row>
    <row r="567" spans="3:17" ht="12.75">
      <c r="C567" s="9" t="s">
        <v>785</v>
      </c>
      <c r="Q567" s="108"/>
    </row>
    <row r="568" spans="3:23" ht="12.75">
      <c r="C568" s="12" t="s">
        <v>786</v>
      </c>
      <c r="N568" s="33"/>
      <c r="O568" s="33"/>
      <c r="P568" s="33" t="s">
        <v>320</v>
      </c>
      <c r="Q568" s="108">
        <v>0</v>
      </c>
      <c r="R568" s="8"/>
      <c r="S568" s="8">
        <v>0</v>
      </c>
      <c r="V568" s="21"/>
      <c r="W568" s="21"/>
    </row>
    <row r="569" spans="3:19" ht="12.75">
      <c r="C569" s="12" t="s">
        <v>210</v>
      </c>
      <c r="N569" s="33"/>
      <c r="O569" s="33"/>
      <c r="P569" s="33" t="s">
        <v>320</v>
      </c>
      <c r="Q569" s="108">
        <v>79402</v>
      </c>
      <c r="R569" s="8"/>
      <c r="S569" s="8">
        <v>116702</v>
      </c>
    </row>
    <row r="570" spans="3:20" ht="12.75">
      <c r="C570" s="12" t="s">
        <v>58</v>
      </c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 t="s">
        <v>320</v>
      </c>
      <c r="Q570" s="34">
        <f>SUM(Q568:Q569)</f>
        <v>79402</v>
      </c>
      <c r="S570" s="39">
        <f>SUM(S568:S569)</f>
        <v>116702</v>
      </c>
      <c r="T570" s="1">
        <f>M367-Q570</f>
        <v>0.4135799999930896</v>
      </c>
    </row>
    <row r="571" spans="17:19" ht="8.25" customHeight="1">
      <c r="Q571" s="109"/>
      <c r="R571" s="8"/>
      <c r="S571" s="35"/>
    </row>
    <row r="572" spans="2:19" ht="12.75">
      <c r="B572" s="32">
        <v>16</v>
      </c>
      <c r="C572" s="9" t="s">
        <v>211</v>
      </c>
      <c r="I572" s="10"/>
      <c r="Q572" s="108"/>
      <c r="R572" s="8"/>
      <c r="S572" s="8"/>
    </row>
    <row r="573" spans="3:19" ht="12.75">
      <c r="C573" s="12" t="s">
        <v>212</v>
      </c>
      <c r="D573" s="9"/>
      <c r="E573" s="9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 t="s">
        <v>320</v>
      </c>
      <c r="Q573" s="108">
        <f>1420961.28+10051.4</f>
        <v>1431012.68</v>
      </c>
      <c r="R573" s="8"/>
      <c r="S573" s="8">
        <f>1367758+9964.6</f>
        <v>1377722.6</v>
      </c>
    </row>
    <row r="574" spans="3:19" ht="12.75">
      <c r="C574" s="12" t="s">
        <v>213</v>
      </c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 t="s">
        <v>320</v>
      </c>
      <c r="Q574" s="108">
        <v>0</v>
      </c>
      <c r="R574" s="8"/>
      <c r="S574" s="8">
        <v>0</v>
      </c>
    </row>
    <row r="575" spans="3:20" ht="12.75">
      <c r="C575" s="12" t="s">
        <v>58</v>
      </c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 t="s">
        <v>320</v>
      </c>
      <c r="Q575" s="34">
        <f>SUM(Q573:Q574)</f>
        <v>1431012.68</v>
      </c>
      <c r="S575" s="39">
        <f>SUM(S573:S574)</f>
        <v>1377722.6</v>
      </c>
      <c r="T575" s="1">
        <f>M371-Q575</f>
        <v>0.001760000130161643</v>
      </c>
    </row>
    <row r="576" spans="8:19" ht="8.25" customHeight="1">
      <c r="H576" s="8"/>
      <c r="I576" s="8"/>
      <c r="J576" s="8"/>
      <c r="L576" s="8"/>
      <c r="N576" s="8"/>
      <c r="P576" s="8"/>
      <c r="Q576" s="109"/>
      <c r="R576" s="8"/>
      <c r="S576" s="35"/>
    </row>
    <row r="577" spans="2:19" ht="12.75">
      <c r="B577" s="32">
        <v>17</v>
      </c>
      <c r="C577" s="9" t="s">
        <v>214</v>
      </c>
      <c r="H577" s="8"/>
      <c r="I577" s="8"/>
      <c r="J577" s="8"/>
      <c r="L577" s="8"/>
      <c r="N577" s="8"/>
      <c r="P577" s="8"/>
      <c r="Q577" s="108"/>
      <c r="R577" s="8"/>
      <c r="S577" s="8"/>
    </row>
    <row r="578" spans="3:19" ht="12.75">
      <c r="C578" s="12" t="s">
        <v>215</v>
      </c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 t="s">
        <v>320</v>
      </c>
      <c r="Q578" s="108">
        <f>11143+374</f>
        <v>11517</v>
      </c>
      <c r="R578" s="8"/>
      <c r="S578" s="8">
        <v>2910</v>
      </c>
    </row>
    <row r="579" spans="3:19" ht="12.75">
      <c r="C579" s="12" t="s">
        <v>216</v>
      </c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 t="s">
        <v>320</v>
      </c>
      <c r="Q579" s="108">
        <f>1219+244.965</f>
        <v>1463.965</v>
      </c>
      <c r="R579" s="8"/>
      <c r="S579" s="8">
        <f>1255+244.965</f>
        <v>1499.965</v>
      </c>
    </row>
    <row r="580" spans="3:19" ht="12.75">
      <c r="C580" s="12" t="s">
        <v>384</v>
      </c>
      <c r="I580" s="33"/>
      <c r="J580" s="33"/>
      <c r="K580" s="33"/>
      <c r="L580" s="33"/>
      <c r="M580" s="33"/>
      <c r="N580" s="33"/>
      <c r="O580" s="33"/>
      <c r="P580" s="33" t="s">
        <v>320</v>
      </c>
      <c r="Q580" s="108">
        <v>1103</v>
      </c>
      <c r="R580" s="8"/>
      <c r="S580" s="8">
        <v>793</v>
      </c>
    </row>
    <row r="581" spans="3:20" ht="12.75">
      <c r="C581" s="12" t="s">
        <v>63</v>
      </c>
      <c r="D581" s="9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 t="s">
        <v>320</v>
      </c>
      <c r="Q581" s="34">
        <f>SUM(Q578:Q580)</f>
        <v>14083.965</v>
      </c>
      <c r="S581" s="39">
        <f>SUM(S578:S580)</f>
        <v>5202.965</v>
      </c>
      <c r="T581" s="1">
        <f>M373-Q581</f>
        <v>-0.11686999999983527</v>
      </c>
    </row>
    <row r="582" spans="17:19" ht="8.25" customHeight="1">
      <c r="Q582" s="109"/>
      <c r="R582" s="8"/>
      <c r="S582" s="35"/>
    </row>
    <row r="583" spans="2:19" ht="12.75" customHeight="1">
      <c r="B583" s="32">
        <v>18</v>
      </c>
      <c r="C583" s="9" t="s">
        <v>385</v>
      </c>
      <c r="P583" s="8"/>
      <c r="Q583" s="108"/>
      <c r="R583" s="8"/>
      <c r="S583" s="8"/>
    </row>
    <row r="584" spans="3:19" ht="12.75" customHeight="1">
      <c r="C584" s="12" t="s">
        <v>386</v>
      </c>
      <c r="P584" s="8"/>
      <c r="Q584" s="108"/>
      <c r="R584" s="8"/>
      <c r="S584" s="8"/>
    </row>
    <row r="585" spans="3:19" ht="12.75" customHeight="1">
      <c r="C585" s="12" t="s">
        <v>387</v>
      </c>
      <c r="K585" s="33"/>
      <c r="L585" s="33"/>
      <c r="M585" s="33"/>
      <c r="N585" s="33"/>
      <c r="O585" s="33"/>
      <c r="P585" s="33" t="s">
        <v>320</v>
      </c>
      <c r="Q585" s="108">
        <f>1433697+10051.4</f>
        <v>1443748.4</v>
      </c>
      <c r="R585" s="8"/>
      <c r="S585" s="8">
        <f>1370663+9964.5</f>
        <v>1380627.5</v>
      </c>
    </row>
    <row r="586" spans="3:19" ht="12.75" customHeight="1">
      <c r="C586" s="12" t="s">
        <v>388</v>
      </c>
      <c r="P586" s="8"/>
      <c r="Q586" s="108"/>
      <c r="R586" s="8"/>
      <c r="S586" s="8"/>
    </row>
    <row r="587" spans="3:19" ht="12.75" customHeight="1">
      <c r="C587" s="12" t="s">
        <v>389</v>
      </c>
      <c r="P587" s="8"/>
      <c r="Q587" s="108"/>
      <c r="R587" s="8"/>
      <c r="S587" s="8"/>
    </row>
    <row r="588" spans="3:19" ht="12.75" customHeight="1">
      <c r="C588" s="12" t="s">
        <v>390</v>
      </c>
      <c r="I588" s="33"/>
      <c r="J588" s="33"/>
      <c r="K588" s="33"/>
      <c r="L588" s="33"/>
      <c r="M588" s="33"/>
      <c r="N588" s="33"/>
      <c r="O588" s="33"/>
      <c r="P588" s="33" t="s">
        <v>320</v>
      </c>
      <c r="Q588" s="108">
        <v>8140</v>
      </c>
      <c r="R588" s="8"/>
      <c r="S588" s="8">
        <v>8808</v>
      </c>
    </row>
    <row r="589" spans="3:19" ht="12.75" customHeight="1">
      <c r="C589" s="12" t="s">
        <v>391</v>
      </c>
      <c r="P589" s="8"/>
      <c r="Q589" s="108"/>
      <c r="R589" s="8"/>
      <c r="S589" s="8"/>
    </row>
    <row r="590" spans="3:19" ht="12.75" customHeight="1">
      <c r="C590" s="12" t="s">
        <v>392</v>
      </c>
      <c r="I590" s="33"/>
      <c r="J590" s="33"/>
      <c r="K590" s="33"/>
      <c r="L590" s="33"/>
      <c r="M590" s="33"/>
      <c r="N590" s="33"/>
      <c r="O590" s="33"/>
      <c r="P590" s="33" t="s">
        <v>320</v>
      </c>
      <c r="Q590" s="108">
        <v>0</v>
      </c>
      <c r="R590" s="8"/>
      <c r="S590" s="8">
        <v>0</v>
      </c>
    </row>
    <row r="591" spans="2:23" ht="9" customHeight="1">
      <c r="B591" s="1"/>
      <c r="T591" s="8"/>
      <c r="U591" s="8"/>
      <c r="V591" s="8"/>
      <c r="W591" s="8"/>
    </row>
    <row r="592" spans="2:23" ht="12.75">
      <c r="B592" s="1"/>
      <c r="I592" s="44">
        <v>2004</v>
      </c>
      <c r="K592" s="10">
        <v>2003</v>
      </c>
      <c r="M592" s="44">
        <f>I592</f>
        <v>2004</v>
      </c>
      <c r="O592" s="10">
        <f>K592</f>
        <v>2003</v>
      </c>
      <c r="P592" s="8"/>
      <c r="Q592" s="44">
        <f>M592</f>
        <v>2004</v>
      </c>
      <c r="S592" s="10">
        <f>O592</f>
        <v>2003</v>
      </c>
      <c r="T592" s="8"/>
      <c r="U592" s="8"/>
      <c r="V592" s="8"/>
      <c r="W592" s="8"/>
    </row>
    <row r="593" spans="2:19" ht="12.75">
      <c r="B593" s="32">
        <v>19</v>
      </c>
      <c r="C593" s="9" t="s">
        <v>393</v>
      </c>
      <c r="I593" s="47" t="s">
        <v>321</v>
      </c>
      <c r="J593" s="3"/>
      <c r="K593" s="3"/>
      <c r="M593" s="47" t="s">
        <v>332</v>
      </c>
      <c r="N593" s="3"/>
      <c r="O593" s="3"/>
      <c r="P593" s="8"/>
      <c r="Q593" s="47" t="s">
        <v>362</v>
      </c>
      <c r="R593" s="3"/>
      <c r="S593" s="3"/>
    </row>
    <row r="594" spans="3:19" ht="12.75">
      <c r="C594" s="9" t="s">
        <v>394</v>
      </c>
      <c r="I594" s="47" t="s">
        <v>322</v>
      </c>
      <c r="J594" s="3"/>
      <c r="K594" s="3"/>
      <c r="M594" s="47" t="s">
        <v>333</v>
      </c>
      <c r="N594" s="3"/>
      <c r="O594" s="3"/>
      <c r="P594" s="8"/>
      <c r="Q594" s="47" t="s">
        <v>363</v>
      </c>
      <c r="R594" s="3"/>
      <c r="S594" s="3"/>
    </row>
    <row r="595" spans="9:17" ht="12.75">
      <c r="I595" s="28"/>
      <c r="M595" s="28"/>
      <c r="P595" s="8"/>
      <c r="Q595" s="28"/>
    </row>
    <row r="596" spans="3:17" ht="12.75" customHeight="1">
      <c r="C596" s="12" t="s">
        <v>395</v>
      </c>
      <c r="I596" s="28"/>
      <c r="M596" s="28"/>
      <c r="P596" s="8"/>
      <c r="Q596" s="28"/>
    </row>
    <row r="597" spans="3:19" ht="12.75" customHeight="1">
      <c r="C597" s="12" t="s">
        <v>396</v>
      </c>
      <c r="H597" s="33" t="s">
        <v>320</v>
      </c>
      <c r="I597" s="108">
        <v>113219</v>
      </c>
      <c r="J597" s="8"/>
      <c r="K597" s="8">
        <v>113219</v>
      </c>
      <c r="L597" s="8"/>
      <c r="M597" s="108">
        <v>2300</v>
      </c>
      <c r="N597" s="8"/>
      <c r="O597" s="8">
        <v>2300</v>
      </c>
      <c r="P597" s="8"/>
      <c r="Q597" s="108">
        <f>S602</f>
        <v>1705.1410000000005</v>
      </c>
      <c r="R597" s="107"/>
      <c r="S597" s="115">
        <f>2134.326+244.965</f>
        <v>2379.291</v>
      </c>
    </row>
    <row r="598" spans="3:19" ht="12.75" customHeight="1">
      <c r="C598" s="12" t="s">
        <v>397</v>
      </c>
      <c r="D598" s="9"/>
      <c r="E598" s="9"/>
      <c r="F598" s="9"/>
      <c r="H598" s="33" t="s">
        <v>320</v>
      </c>
      <c r="I598" s="108">
        <v>0</v>
      </c>
      <c r="J598" s="8"/>
      <c r="K598" s="8">
        <v>0</v>
      </c>
      <c r="L598" s="8"/>
      <c r="M598" s="108">
        <v>0</v>
      </c>
      <c r="N598" s="8"/>
      <c r="O598" s="8">
        <v>0</v>
      </c>
      <c r="P598" s="8"/>
      <c r="Q598" s="108">
        <v>0</v>
      </c>
      <c r="R598" s="107"/>
      <c r="S598" s="115">
        <v>0</v>
      </c>
    </row>
    <row r="599" spans="3:19" ht="12.75" customHeight="1">
      <c r="C599" s="12" t="s">
        <v>398</v>
      </c>
      <c r="D599" s="33"/>
      <c r="E599" s="33"/>
      <c r="F599" s="33"/>
      <c r="G599" s="33"/>
      <c r="H599" s="33" t="s">
        <v>320</v>
      </c>
      <c r="I599" s="108">
        <v>5000</v>
      </c>
      <c r="J599" s="8"/>
      <c r="K599" s="8">
        <v>1000</v>
      </c>
      <c r="L599" s="8"/>
      <c r="M599" s="108">
        <v>0</v>
      </c>
      <c r="N599" s="8"/>
      <c r="O599" s="8">
        <v>0</v>
      </c>
      <c r="P599" s="8"/>
      <c r="Q599" s="108">
        <v>0</v>
      </c>
      <c r="R599" s="107"/>
      <c r="S599" s="115">
        <v>26.8</v>
      </c>
    </row>
    <row r="600" spans="3:19" ht="12.75" customHeight="1">
      <c r="C600" s="12" t="s">
        <v>399</v>
      </c>
      <c r="E600" s="33"/>
      <c r="F600" s="33"/>
      <c r="G600" s="33"/>
      <c r="H600" s="33" t="s">
        <v>320</v>
      </c>
      <c r="I600" s="108">
        <v>4247</v>
      </c>
      <c r="J600" s="8"/>
      <c r="K600" s="12">
        <v>1000</v>
      </c>
      <c r="L600" s="8"/>
      <c r="M600" s="108">
        <v>0</v>
      </c>
      <c r="N600" s="8"/>
      <c r="O600" s="12">
        <v>0</v>
      </c>
      <c r="P600" s="8"/>
      <c r="Q600" s="108">
        <v>0</v>
      </c>
      <c r="R600" s="107"/>
      <c r="S600" s="114">
        <f>2134.326-1446.776+13.4</f>
        <v>700.9499999999999</v>
      </c>
    </row>
    <row r="601" spans="3:19" ht="12.75" customHeight="1">
      <c r="C601" s="12" t="s">
        <v>400</v>
      </c>
      <c r="I601" s="34"/>
      <c r="J601" s="8"/>
      <c r="K601" s="35"/>
      <c r="L601" s="8"/>
      <c r="M601" s="34"/>
      <c r="N601" s="8"/>
      <c r="O601" s="35"/>
      <c r="P601" s="8"/>
      <c r="Q601" s="109"/>
      <c r="R601" s="107"/>
      <c r="S601" s="117"/>
    </row>
    <row r="602" spans="3:19" ht="12.75" customHeight="1">
      <c r="C602" s="12" t="s">
        <v>401</v>
      </c>
      <c r="E602" s="33"/>
      <c r="F602" s="33"/>
      <c r="G602" s="33"/>
      <c r="H602" s="33" t="s">
        <v>320</v>
      </c>
      <c r="I602" s="28">
        <f>I597+I598+I599-I600</f>
        <v>113972</v>
      </c>
      <c r="J602" s="8"/>
      <c r="K602" s="12">
        <f>K597+K598+K599-K600</f>
        <v>113219</v>
      </c>
      <c r="L602" s="8"/>
      <c r="M602" s="28">
        <f>M597+M598+M599-M600</f>
        <v>2300</v>
      </c>
      <c r="N602" s="8"/>
      <c r="O602" s="12">
        <f>O597+O598+O599-O600</f>
        <v>2300</v>
      </c>
      <c r="P602" s="8"/>
      <c r="Q602" s="108">
        <f>Q597+Q598+Q599-Q600</f>
        <v>1705.1410000000005</v>
      </c>
      <c r="R602" s="107"/>
      <c r="S602" s="114">
        <f>S597+S598+S599-S600</f>
        <v>1705.1410000000005</v>
      </c>
    </row>
    <row r="603" spans="3:19" ht="12.75" customHeight="1">
      <c r="C603" s="12" t="s">
        <v>402</v>
      </c>
      <c r="I603" s="34"/>
      <c r="J603" s="8"/>
      <c r="K603" s="35"/>
      <c r="L603" s="8"/>
      <c r="M603" s="34"/>
      <c r="N603" s="8"/>
      <c r="O603" s="35"/>
      <c r="P603" s="8"/>
      <c r="Q603" s="109"/>
      <c r="R603" s="107"/>
      <c r="S603" s="117"/>
    </row>
    <row r="604" spans="3:19" ht="12.75" customHeight="1">
      <c r="C604" s="12" t="s">
        <v>403</v>
      </c>
      <c r="G604" s="33"/>
      <c r="H604" s="33" t="s">
        <v>320</v>
      </c>
      <c r="I604" s="108">
        <v>3085.8</v>
      </c>
      <c r="J604" s="8"/>
      <c r="K604" s="8">
        <v>1197</v>
      </c>
      <c r="L604" s="8"/>
      <c r="M604" s="108">
        <v>1377</v>
      </c>
      <c r="N604" s="8"/>
      <c r="O604" s="8">
        <v>2030</v>
      </c>
      <c r="P604" s="8"/>
      <c r="Q604" s="108">
        <f>S617</f>
        <v>-667.5073199999999</v>
      </c>
      <c r="R604" s="107"/>
      <c r="S604" s="115">
        <f>-982.174-13.4</f>
        <v>-995.574</v>
      </c>
    </row>
    <row r="605" spans="3:19" ht="12.75" customHeight="1">
      <c r="C605" s="12" t="s">
        <v>404</v>
      </c>
      <c r="D605" s="9"/>
      <c r="E605" s="9"/>
      <c r="F605" s="9"/>
      <c r="G605" s="33"/>
      <c r="H605" s="33" t="s">
        <v>320</v>
      </c>
      <c r="I605" s="108">
        <v>0</v>
      </c>
      <c r="J605" s="8"/>
      <c r="K605" s="8">
        <v>0</v>
      </c>
      <c r="L605" s="8"/>
      <c r="M605" s="108">
        <v>0</v>
      </c>
      <c r="N605" s="8"/>
      <c r="O605" s="8">
        <v>0</v>
      </c>
      <c r="P605" s="8"/>
      <c r="Q605" s="108">
        <v>0</v>
      </c>
      <c r="R605" s="107"/>
      <c r="S605" s="115">
        <v>0</v>
      </c>
    </row>
    <row r="606" spans="3:19" ht="12.75" customHeight="1">
      <c r="C606" s="12" t="s">
        <v>405</v>
      </c>
      <c r="E606" s="33"/>
      <c r="F606" s="33"/>
      <c r="G606" s="33"/>
      <c r="H606" s="33" t="s">
        <v>320</v>
      </c>
      <c r="I606" s="108">
        <v>3694</v>
      </c>
      <c r="J606" s="8"/>
      <c r="K606" s="8">
        <v>1623.4</v>
      </c>
      <c r="L606" s="8"/>
      <c r="M606" s="108">
        <v>1244</v>
      </c>
      <c r="N606" s="8"/>
      <c r="O606" s="8">
        <v>-653</v>
      </c>
      <c r="P606" s="8"/>
      <c r="Q606" s="108">
        <v>0</v>
      </c>
      <c r="R606" s="107"/>
      <c r="S606" s="115">
        <v>0</v>
      </c>
    </row>
    <row r="607" spans="3:19" ht="12.75" customHeight="1">
      <c r="C607" s="12" t="s">
        <v>406</v>
      </c>
      <c r="E607" s="33"/>
      <c r="F607" s="33"/>
      <c r="G607" s="33"/>
      <c r="H607" s="33" t="s">
        <v>320</v>
      </c>
      <c r="I607" s="108">
        <v>0</v>
      </c>
      <c r="J607" s="8"/>
      <c r="K607" s="8">
        <v>0</v>
      </c>
      <c r="L607" s="8"/>
      <c r="M607" s="108">
        <v>0</v>
      </c>
      <c r="N607" s="8"/>
      <c r="O607" s="8">
        <v>0</v>
      </c>
      <c r="P607" s="8"/>
      <c r="Q607" s="108">
        <v>0</v>
      </c>
      <c r="R607" s="107"/>
      <c r="S607" s="115">
        <v>0</v>
      </c>
    </row>
    <row r="608" spans="3:19" ht="12.75" customHeight="1">
      <c r="C608" s="12" t="s">
        <v>407</v>
      </c>
      <c r="I608" s="108"/>
      <c r="J608" s="8"/>
      <c r="K608" s="8"/>
      <c r="L608" s="8"/>
      <c r="M608" s="108"/>
      <c r="N608" s="8"/>
      <c r="O608" s="8"/>
      <c r="P608" s="8"/>
      <c r="Q608" s="108"/>
      <c r="R608" s="107"/>
      <c r="S608" s="115"/>
    </row>
    <row r="609" spans="3:19" ht="12.75" customHeight="1">
      <c r="C609" s="12" t="s">
        <v>408</v>
      </c>
      <c r="F609" s="33"/>
      <c r="G609" s="33"/>
      <c r="H609" s="33" t="s">
        <v>320</v>
      </c>
      <c r="I609" s="108">
        <v>0</v>
      </c>
      <c r="J609" s="8"/>
      <c r="K609" s="8">
        <v>0</v>
      </c>
      <c r="L609" s="8"/>
      <c r="M609" s="108">
        <v>0</v>
      </c>
      <c r="N609" s="8"/>
      <c r="O609" s="8">
        <v>0</v>
      </c>
      <c r="P609" s="8"/>
      <c r="Q609" s="108">
        <v>0</v>
      </c>
      <c r="R609" s="107"/>
      <c r="S609" s="115">
        <v>0</v>
      </c>
    </row>
    <row r="610" spans="3:19" ht="12.75" customHeight="1">
      <c r="C610" s="12" t="s">
        <v>409</v>
      </c>
      <c r="F610" s="33"/>
      <c r="G610" s="33"/>
      <c r="H610" s="33"/>
      <c r="I610" s="108"/>
      <c r="J610" s="8"/>
      <c r="K610" s="8"/>
      <c r="L610" s="8"/>
      <c r="M610" s="108"/>
      <c r="N610" s="8"/>
      <c r="O610" s="8"/>
      <c r="P610" s="8"/>
      <c r="Q610" s="108"/>
      <c r="R610" s="107"/>
      <c r="S610" s="115"/>
    </row>
    <row r="611" spans="3:19" ht="12.75" customHeight="1">
      <c r="C611" s="12" t="s">
        <v>410</v>
      </c>
      <c r="H611" s="33" t="s">
        <v>320</v>
      </c>
      <c r="I611" s="108">
        <v>0</v>
      </c>
      <c r="J611" s="8"/>
      <c r="K611" s="8">
        <v>0</v>
      </c>
      <c r="L611" s="8"/>
      <c r="M611" s="108">
        <v>0</v>
      </c>
      <c r="N611" s="8"/>
      <c r="O611" s="8">
        <v>0</v>
      </c>
      <c r="P611" s="8"/>
      <c r="Q611" s="108">
        <v>0</v>
      </c>
      <c r="R611" s="107"/>
      <c r="S611" s="115">
        <v>0</v>
      </c>
    </row>
    <row r="612" spans="3:19" ht="12.75" customHeight="1">
      <c r="C612" s="12" t="s">
        <v>411</v>
      </c>
      <c r="I612" s="108"/>
      <c r="J612" s="8"/>
      <c r="K612" s="8"/>
      <c r="L612" s="8"/>
      <c r="M612" s="108"/>
      <c r="N612" s="8"/>
      <c r="O612" s="8"/>
      <c r="P612" s="8"/>
      <c r="Q612" s="108"/>
      <c r="R612" s="107"/>
      <c r="S612" s="115"/>
    </row>
    <row r="613" spans="3:19" ht="12.75" customHeight="1">
      <c r="C613" s="12" t="s">
        <v>412</v>
      </c>
      <c r="G613" s="33"/>
      <c r="H613" s="33" t="s">
        <v>320</v>
      </c>
      <c r="I613" s="108">
        <v>0</v>
      </c>
      <c r="J613" s="8"/>
      <c r="K613" s="8">
        <v>0</v>
      </c>
      <c r="L613" s="8"/>
      <c r="M613" s="108">
        <v>0</v>
      </c>
      <c r="N613" s="8"/>
      <c r="O613" s="8">
        <v>0</v>
      </c>
      <c r="P613" s="8"/>
      <c r="Q613" s="108">
        <v>310</v>
      </c>
      <c r="R613" s="107"/>
      <c r="S613" s="115">
        <v>125.51768</v>
      </c>
    </row>
    <row r="614" spans="3:19" ht="12.75" customHeight="1">
      <c r="C614" s="12" t="s">
        <v>413</v>
      </c>
      <c r="I614" s="108"/>
      <c r="J614" s="8"/>
      <c r="K614" s="8"/>
      <c r="L614" s="8"/>
      <c r="M614" s="108"/>
      <c r="N614" s="8"/>
      <c r="O614" s="8"/>
      <c r="P614" s="8"/>
      <c r="Q614" s="108"/>
      <c r="R614" s="107"/>
      <c r="S614" s="115"/>
    </row>
    <row r="615" spans="3:19" ht="12.75" customHeight="1">
      <c r="C615" s="12" t="s">
        <v>414</v>
      </c>
      <c r="G615" s="33"/>
      <c r="H615" s="33" t="s">
        <v>320</v>
      </c>
      <c r="I615" s="108">
        <v>0</v>
      </c>
      <c r="J615" s="8"/>
      <c r="K615" s="12">
        <v>-265.4</v>
      </c>
      <c r="L615" s="8"/>
      <c r="M615" s="108">
        <v>0</v>
      </c>
      <c r="N615" s="8"/>
      <c r="O615" s="12">
        <v>0</v>
      </c>
      <c r="P615" s="8"/>
      <c r="Q615" s="108">
        <v>0</v>
      </c>
      <c r="R615" s="107"/>
      <c r="S615" s="114">
        <v>202.549</v>
      </c>
    </row>
    <row r="616" spans="3:19" ht="12.75" customHeight="1">
      <c r="C616" s="12" t="s">
        <v>415</v>
      </c>
      <c r="I616" s="109"/>
      <c r="J616" s="8"/>
      <c r="K616" s="35"/>
      <c r="L616" s="8"/>
      <c r="M616" s="34"/>
      <c r="N616" s="8"/>
      <c r="O616" s="35"/>
      <c r="P616" s="8"/>
      <c r="Q616" s="109"/>
      <c r="R616" s="107"/>
      <c r="S616" s="117"/>
    </row>
    <row r="617" spans="3:19" ht="12.75" customHeight="1">
      <c r="C617" s="12" t="s">
        <v>416</v>
      </c>
      <c r="D617" s="9"/>
      <c r="E617" s="9"/>
      <c r="F617" s="33"/>
      <c r="G617" s="33"/>
      <c r="H617" s="33" t="s">
        <v>320</v>
      </c>
      <c r="I617" s="108">
        <f>I604+I605+I606+I607+I609+I611+I613-I615</f>
        <v>6779.8</v>
      </c>
      <c r="J617" s="8"/>
      <c r="K617" s="12">
        <f>K604+K605+K606+K607+K609+K611+K613-K615</f>
        <v>3085.8</v>
      </c>
      <c r="L617" s="8"/>
      <c r="M617" s="28">
        <f>M604+M605+M606+M607+M609+M611+M613-M615</f>
        <v>2621</v>
      </c>
      <c r="N617" s="8"/>
      <c r="O617" s="12">
        <f>O604+O605+O606+O607+O609+O611+O613-O615</f>
        <v>1377</v>
      </c>
      <c r="P617" s="8"/>
      <c r="Q617" s="108">
        <f>Q604+Q605+Q606+Q607+Q609+Q611+Q613+Q615</f>
        <v>-357.50731999999994</v>
      </c>
      <c r="R617" s="107"/>
      <c r="S617" s="114">
        <f>S604+S605+S606+S607+S609+S611+S613+S615</f>
        <v>-667.5073199999999</v>
      </c>
    </row>
    <row r="618" spans="3:19" ht="12.75" customHeight="1">
      <c r="C618" s="12" t="s">
        <v>417</v>
      </c>
      <c r="I618" s="109"/>
      <c r="J618" s="8"/>
      <c r="K618" s="35"/>
      <c r="L618" s="8"/>
      <c r="M618" s="34"/>
      <c r="N618" s="8"/>
      <c r="O618" s="35"/>
      <c r="P618" s="8"/>
      <c r="Q618" s="109"/>
      <c r="R618" s="107"/>
      <c r="S618" s="117"/>
    </row>
    <row r="619" spans="3:19" ht="12.75" customHeight="1">
      <c r="C619" s="12" t="s">
        <v>418</v>
      </c>
      <c r="F619" s="33"/>
      <c r="G619" s="33"/>
      <c r="H619" s="33" t="s">
        <v>320</v>
      </c>
      <c r="I619" s="108">
        <v>0</v>
      </c>
      <c r="J619" s="8"/>
      <c r="K619" s="12">
        <v>0</v>
      </c>
      <c r="L619" s="8"/>
      <c r="M619" s="108">
        <v>0</v>
      </c>
      <c r="N619" s="8"/>
      <c r="O619" s="12">
        <v>0</v>
      </c>
      <c r="P619" s="8"/>
      <c r="Q619" s="108">
        <v>0</v>
      </c>
      <c r="R619" s="107"/>
      <c r="S619" s="114">
        <v>0</v>
      </c>
    </row>
    <row r="620" spans="3:19" ht="12.75" customHeight="1">
      <c r="C620" s="12" t="s">
        <v>419</v>
      </c>
      <c r="I620" s="109"/>
      <c r="J620" s="8"/>
      <c r="K620" s="35"/>
      <c r="L620" s="8"/>
      <c r="M620" s="34"/>
      <c r="N620" s="8"/>
      <c r="O620" s="35"/>
      <c r="P620" s="8"/>
      <c r="Q620" s="109"/>
      <c r="R620" s="107"/>
      <c r="S620" s="117"/>
    </row>
    <row r="621" spans="3:20" ht="12.75" customHeight="1">
      <c r="C621" s="12" t="s">
        <v>420</v>
      </c>
      <c r="F621" s="33"/>
      <c r="G621" s="33"/>
      <c r="H621" s="33" t="s">
        <v>320</v>
      </c>
      <c r="I621" s="108">
        <f>I602+I617</f>
        <v>120751.8</v>
      </c>
      <c r="J621" s="8"/>
      <c r="K621" s="12">
        <f>K602+K617</f>
        <v>116304.8</v>
      </c>
      <c r="L621" s="8"/>
      <c r="M621" s="28">
        <f>M602+M617</f>
        <v>4921</v>
      </c>
      <c r="N621" s="8"/>
      <c r="O621" s="12">
        <f>O602+O617</f>
        <v>3677</v>
      </c>
      <c r="P621" s="8"/>
      <c r="Q621" s="108">
        <f>Q602+Q617</f>
        <v>1347.6336800000006</v>
      </c>
      <c r="R621" s="107"/>
      <c r="S621" s="114">
        <f>S602+S617</f>
        <v>1037.6336800000006</v>
      </c>
      <c r="T621" s="1">
        <f>S621-793</f>
        <v>244.6336800000006</v>
      </c>
    </row>
    <row r="622" spans="3:19" ht="12.75" customHeight="1">
      <c r="C622" s="12" t="s">
        <v>421</v>
      </c>
      <c r="H622" s="33"/>
      <c r="I622" s="109">
        <v>0</v>
      </c>
      <c r="J622" s="8"/>
      <c r="K622" s="35">
        <v>0</v>
      </c>
      <c r="L622" s="8"/>
      <c r="M622" s="109">
        <v>0</v>
      </c>
      <c r="N622" s="8"/>
      <c r="O622" s="35">
        <v>0</v>
      </c>
      <c r="P622" s="8"/>
      <c r="Q622" s="109">
        <v>0</v>
      </c>
      <c r="R622" s="107"/>
      <c r="S622" s="117">
        <v>0</v>
      </c>
    </row>
    <row r="623" spans="1:19" ht="15.75">
      <c r="A623" s="7" t="s">
        <v>0</v>
      </c>
      <c r="B623" s="3"/>
      <c r="C623" s="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116"/>
    </row>
    <row r="625" spans="3:19" ht="12.75">
      <c r="C625" s="12" t="s">
        <v>114</v>
      </c>
      <c r="I625" s="44">
        <f>Q555</f>
        <v>2004</v>
      </c>
      <c r="K625" s="10">
        <f>S555</f>
        <v>2003</v>
      </c>
      <c r="M625" s="44">
        <f>I625</f>
        <v>2004</v>
      </c>
      <c r="O625" s="10">
        <f>K625</f>
        <v>2003</v>
      </c>
      <c r="P625" s="8"/>
      <c r="Q625" s="44">
        <f>M625</f>
        <v>2004</v>
      </c>
      <c r="S625" s="10">
        <f>O625</f>
        <v>2003</v>
      </c>
    </row>
    <row r="626" spans="1:20" ht="12.75" customHeight="1">
      <c r="A626" s="51"/>
      <c r="B626" s="32">
        <v>20</v>
      </c>
      <c r="C626" s="9" t="s">
        <v>422</v>
      </c>
      <c r="I626" s="52" t="s">
        <v>323</v>
      </c>
      <c r="J626" s="3"/>
      <c r="K626" s="37"/>
      <c r="M626" s="52" t="s">
        <v>334</v>
      </c>
      <c r="N626" s="3"/>
      <c r="O626" s="37"/>
      <c r="Q626" s="52" t="s">
        <v>176</v>
      </c>
      <c r="R626" s="3"/>
      <c r="S626" s="37"/>
      <c r="T626" s="53"/>
    </row>
    <row r="627" spans="1:20" ht="12.75" customHeight="1">
      <c r="A627" s="51"/>
      <c r="C627" s="9"/>
      <c r="D627" s="9"/>
      <c r="E627" s="9"/>
      <c r="F627" s="9"/>
      <c r="I627" s="47" t="s">
        <v>324</v>
      </c>
      <c r="J627" s="3"/>
      <c r="K627" s="37"/>
      <c r="M627" s="47" t="s">
        <v>335</v>
      </c>
      <c r="N627" s="3"/>
      <c r="O627" s="37"/>
      <c r="Q627" s="54"/>
      <c r="S627" s="36"/>
      <c r="T627" s="53"/>
    </row>
    <row r="628" spans="1:20" ht="12.75" customHeight="1">
      <c r="A628" s="51"/>
      <c r="C628" s="12" t="s">
        <v>395</v>
      </c>
      <c r="I628" s="28"/>
      <c r="M628" s="28"/>
      <c r="P628" s="8"/>
      <c r="Q628" s="28"/>
      <c r="T628" s="53"/>
    </row>
    <row r="629" spans="1:20" ht="12.75" customHeight="1">
      <c r="A629" s="51"/>
      <c r="C629" s="12" t="s">
        <v>423</v>
      </c>
      <c r="G629" s="33"/>
      <c r="H629" s="33" t="s">
        <v>320</v>
      </c>
      <c r="I629" s="108">
        <f>K633</f>
        <v>173132.12138</v>
      </c>
      <c r="J629" s="8"/>
      <c r="K629" s="48">
        <v>159820.77695</v>
      </c>
      <c r="L629" s="8"/>
      <c r="M629" s="108">
        <f>O633</f>
        <v>18184.71138</v>
      </c>
      <c r="N629" s="8"/>
      <c r="O629" s="8">
        <v>17261.36538</v>
      </c>
      <c r="P629" s="8"/>
      <c r="Q629" s="28">
        <f>I629+M629</f>
        <v>191316.83276</v>
      </c>
      <c r="R629" s="8"/>
      <c r="S629" s="13">
        <f>K629+O629</f>
        <v>177082.14233</v>
      </c>
      <c r="T629" s="53"/>
    </row>
    <row r="630" spans="1:20" ht="12.75" customHeight="1">
      <c r="A630" s="51"/>
      <c r="C630" s="12" t="s">
        <v>424</v>
      </c>
      <c r="E630" s="33"/>
      <c r="F630" s="33"/>
      <c r="G630" s="33"/>
      <c r="H630" s="33" t="s">
        <v>320</v>
      </c>
      <c r="I630" s="108">
        <v>3027.17133</v>
      </c>
      <c r="J630" s="8"/>
      <c r="K630" s="48">
        <v>16332.00469</v>
      </c>
      <c r="L630" s="8"/>
      <c r="M630" s="108">
        <v>1126.07875</v>
      </c>
      <c r="N630" s="8"/>
      <c r="O630" s="8">
        <v>1630.721</v>
      </c>
      <c r="P630" s="8"/>
      <c r="Q630" s="28">
        <f>I630+M630</f>
        <v>4153.25008</v>
      </c>
      <c r="R630" s="8"/>
      <c r="S630" s="13">
        <f>K630+O630</f>
        <v>17962.72569</v>
      </c>
      <c r="T630" s="53"/>
    </row>
    <row r="631" spans="1:20" ht="12.75" customHeight="1">
      <c r="A631" s="51"/>
      <c r="C631" s="12" t="s">
        <v>425</v>
      </c>
      <c r="E631" s="33"/>
      <c r="F631" s="33"/>
      <c r="G631" s="33"/>
      <c r="H631" s="33" t="s">
        <v>320</v>
      </c>
      <c r="I631" s="108">
        <v>3484.13299</v>
      </c>
      <c r="J631" s="8"/>
      <c r="K631" s="48">
        <v>3020.66026</v>
      </c>
      <c r="L631" s="8"/>
      <c r="M631" s="108">
        <v>211.85</v>
      </c>
      <c r="N631" s="8"/>
      <c r="O631" s="12">
        <v>707.375</v>
      </c>
      <c r="P631" s="8"/>
      <c r="Q631" s="28">
        <f>I631+M631</f>
        <v>3695.98299</v>
      </c>
      <c r="R631" s="8"/>
      <c r="S631" s="13">
        <f>K631+O631</f>
        <v>3728.03526</v>
      </c>
      <c r="T631" s="53"/>
    </row>
    <row r="632" spans="1:20" ht="12.75" customHeight="1">
      <c r="A632" s="51"/>
      <c r="C632" s="12" t="s">
        <v>400</v>
      </c>
      <c r="I632" s="109"/>
      <c r="J632" s="8"/>
      <c r="K632" s="35"/>
      <c r="L632" s="8"/>
      <c r="M632" s="34"/>
      <c r="N632" s="8"/>
      <c r="O632" s="35"/>
      <c r="P632" s="8"/>
      <c r="Q632" s="34"/>
      <c r="R632" s="8"/>
      <c r="S632" s="45"/>
      <c r="T632" s="53"/>
    </row>
    <row r="633" spans="1:20" ht="12.75" customHeight="1">
      <c r="A633" s="51"/>
      <c r="C633" s="12" t="s">
        <v>401</v>
      </c>
      <c r="F633" s="33"/>
      <c r="G633" s="33"/>
      <c r="H633" s="33" t="s">
        <v>320</v>
      </c>
      <c r="I633" s="108">
        <f>I629+I630-I631</f>
        <v>172675.15972</v>
      </c>
      <c r="J633" s="8"/>
      <c r="K633" s="12">
        <f>K629+K630-K631</f>
        <v>173132.12138</v>
      </c>
      <c r="L633" s="8"/>
      <c r="M633" s="28">
        <f>M629+M630-M631</f>
        <v>19098.940130000003</v>
      </c>
      <c r="N633" s="8"/>
      <c r="O633" s="12">
        <f>O629+O630-O631</f>
        <v>18184.71138</v>
      </c>
      <c r="P633" s="8"/>
      <c r="Q633" s="28">
        <f>Q629+Q630-Q631</f>
        <v>191774.09985</v>
      </c>
      <c r="R633" s="8"/>
      <c r="S633" s="13">
        <f>S629+S630-S631</f>
        <v>191316.83276</v>
      </c>
      <c r="T633" s="53"/>
    </row>
    <row r="634" spans="1:20" ht="12.75" customHeight="1">
      <c r="A634" s="51"/>
      <c r="C634" s="12" t="s">
        <v>426</v>
      </c>
      <c r="I634" s="109"/>
      <c r="J634" s="8"/>
      <c r="K634" s="35"/>
      <c r="L634" s="8"/>
      <c r="M634" s="109"/>
      <c r="N634" s="8"/>
      <c r="O634" s="35"/>
      <c r="P634" s="8"/>
      <c r="Q634" s="34"/>
      <c r="R634" s="8"/>
      <c r="S634" s="35"/>
      <c r="T634" s="53"/>
    </row>
    <row r="635" spans="1:20" ht="12.75" customHeight="1">
      <c r="A635" s="51"/>
      <c r="C635" s="12" t="s">
        <v>427</v>
      </c>
      <c r="G635" s="33"/>
      <c r="H635" s="33" t="s">
        <v>320</v>
      </c>
      <c r="I635" s="108">
        <f>K642</f>
        <v>109139.40273</v>
      </c>
      <c r="J635" s="8"/>
      <c r="K635" s="48">
        <v>112145.53039</v>
      </c>
      <c r="L635" s="8"/>
      <c r="M635" s="108">
        <f>O642</f>
        <v>13374.75143</v>
      </c>
      <c r="N635" s="8"/>
      <c r="O635" s="8">
        <v>12118.42775</v>
      </c>
      <c r="P635" s="8"/>
      <c r="Q635" s="28">
        <f>I635+M635</f>
        <v>122514.15416</v>
      </c>
      <c r="R635" s="8"/>
      <c r="S635" s="8">
        <f>K635+O635</f>
        <v>124263.95814</v>
      </c>
      <c r="T635" s="53"/>
    </row>
    <row r="636" spans="1:20" ht="12.75" customHeight="1">
      <c r="A636" s="51"/>
      <c r="C636" s="12" t="s">
        <v>428</v>
      </c>
      <c r="H636" s="33" t="s">
        <v>320</v>
      </c>
      <c r="I636" s="108">
        <v>2759.69977</v>
      </c>
      <c r="J636" s="8"/>
      <c r="K636" s="48">
        <v>2768.36653</v>
      </c>
      <c r="L636" s="8"/>
      <c r="M636" s="108">
        <v>1539.68535</v>
      </c>
      <c r="N636" s="8"/>
      <c r="O636" s="8">
        <v>1891.95868</v>
      </c>
      <c r="P636" s="8"/>
      <c r="Q636" s="28">
        <f>I636+M636</f>
        <v>4299.38512</v>
      </c>
      <c r="R636" s="8"/>
      <c r="S636" s="8">
        <f>K636+O636</f>
        <v>4660.32521</v>
      </c>
      <c r="T636" s="53"/>
    </row>
    <row r="637" spans="1:20" ht="12.75" customHeight="1">
      <c r="A637" s="51"/>
      <c r="C637" s="12" t="s">
        <v>429</v>
      </c>
      <c r="H637" s="33"/>
      <c r="I637" s="108"/>
      <c r="J637" s="8"/>
      <c r="K637" s="48"/>
      <c r="L637" s="8"/>
      <c r="M637" s="108"/>
      <c r="N637" s="8"/>
      <c r="O637" s="8"/>
      <c r="P637" s="8"/>
      <c r="Q637" s="28"/>
      <c r="R637" s="8"/>
      <c r="S637" s="8"/>
      <c r="T637" s="53"/>
    </row>
    <row r="638" spans="1:20" ht="12.75" customHeight="1">
      <c r="A638" s="51"/>
      <c r="C638" s="12" t="s">
        <v>430</v>
      </c>
      <c r="H638" s="33" t="s">
        <v>320</v>
      </c>
      <c r="I638" s="108">
        <v>0</v>
      </c>
      <c r="J638" s="8"/>
      <c r="K638" s="48">
        <v>8377.00344</v>
      </c>
      <c r="L638" s="8"/>
      <c r="M638" s="108">
        <v>0</v>
      </c>
      <c r="N638" s="8"/>
      <c r="O638" s="8">
        <v>0</v>
      </c>
      <c r="P638" s="8"/>
      <c r="Q638" s="28">
        <f>I638+M638</f>
        <v>0</v>
      </c>
      <c r="R638" s="8"/>
      <c r="S638" s="8">
        <f>K638+O638</f>
        <v>8377.00344</v>
      </c>
      <c r="T638" s="53"/>
    </row>
    <row r="639" spans="1:20" ht="12.75" customHeight="1">
      <c r="A639" s="51"/>
      <c r="C639" s="12" t="s">
        <v>431</v>
      </c>
      <c r="I639" s="108"/>
      <c r="J639" s="8"/>
      <c r="K639" s="8"/>
      <c r="L639" s="8"/>
      <c r="M639" s="108"/>
      <c r="N639" s="8"/>
      <c r="O639" s="8"/>
      <c r="P639" s="8"/>
      <c r="Q639" s="28"/>
      <c r="R639" s="8"/>
      <c r="S639" s="8"/>
      <c r="T639" s="53"/>
    </row>
    <row r="640" spans="1:20" ht="12.75" customHeight="1">
      <c r="A640" s="51"/>
      <c r="C640" s="12" t="s">
        <v>432</v>
      </c>
      <c r="G640" s="33"/>
      <c r="H640" s="33" t="s">
        <v>320</v>
      </c>
      <c r="I640" s="108">
        <v>614.45008</v>
      </c>
      <c r="J640" s="8"/>
      <c r="K640" s="48">
        <v>14151.49763</v>
      </c>
      <c r="L640" s="8"/>
      <c r="M640" s="108">
        <v>11.85</v>
      </c>
      <c r="N640" s="8"/>
      <c r="O640" s="12">
        <v>635.635</v>
      </c>
      <c r="P640" s="8"/>
      <c r="Q640" s="28">
        <f>I640+M640</f>
        <v>626.30008</v>
      </c>
      <c r="R640" s="8"/>
      <c r="S640" s="12">
        <f>K640+O640</f>
        <v>14787.13263</v>
      </c>
      <c r="T640" s="53"/>
    </row>
    <row r="641" spans="1:20" ht="12.75" customHeight="1">
      <c r="A641" s="51"/>
      <c r="C641" s="12" t="s">
        <v>433</v>
      </c>
      <c r="I641" s="109"/>
      <c r="J641" s="8"/>
      <c r="K641" s="35"/>
      <c r="L641" s="8"/>
      <c r="M641" s="34"/>
      <c r="N641" s="8"/>
      <c r="O641" s="35"/>
      <c r="P641" s="8"/>
      <c r="Q641" s="34"/>
      <c r="R641" s="8"/>
      <c r="S641" s="35"/>
      <c r="T641" s="53"/>
    </row>
    <row r="642" spans="1:20" ht="12.75" customHeight="1">
      <c r="A642" s="51"/>
      <c r="C642" s="12" t="s">
        <v>434</v>
      </c>
      <c r="F642" s="33"/>
      <c r="G642" s="33"/>
      <c r="H642" s="33" t="s">
        <v>320</v>
      </c>
      <c r="I642" s="108">
        <f>I635+I636+I638-I640</f>
        <v>111284.65242000001</v>
      </c>
      <c r="J642" s="8"/>
      <c r="K642" s="12">
        <f>K635+K636+K638-K640</f>
        <v>109139.40273</v>
      </c>
      <c r="L642" s="8"/>
      <c r="M642" s="28">
        <f>M635+M636+M638-M640</f>
        <v>14902.58678</v>
      </c>
      <c r="N642" s="8"/>
      <c r="O642" s="12">
        <f>O635+O636+O638-O640</f>
        <v>13374.75143</v>
      </c>
      <c r="P642" s="8"/>
      <c r="Q642" s="28">
        <f>Q635+Q636+Q638-Q640</f>
        <v>126187.23920000001</v>
      </c>
      <c r="R642" s="8"/>
      <c r="S642" s="12">
        <f>S635+S636+S638-S640</f>
        <v>122514.15415999998</v>
      </c>
      <c r="T642" s="53"/>
    </row>
    <row r="643" spans="1:20" ht="12.75" customHeight="1">
      <c r="A643" s="51"/>
      <c r="C643" s="12" t="s">
        <v>419</v>
      </c>
      <c r="I643" s="109"/>
      <c r="J643" s="8"/>
      <c r="K643" s="35"/>
      <c r="L643" s="8"/>
      <c r="M643" s="34"/>
      <c r="N643" s="8"/>
      <c r="O643" s="35"/>
      <c r="P643" s="8"/>
      <c r="Q643" s="34"/>
      <c r="R643" s="8"/>
      <c r="S643" s="35"/>
      <c r="T643" s="53"/>
    </row>
    <row r="644" spans="1:20" ht="12.75" customHeight="1">
      <c r="A644" s="51"/>
      <c r="C644" s="12" t="s">
        <v>435</v>
      </c>
      <c r="D644" s="9"/>
      <c r="E644" s="9"/>
      <c r="F644" s="33"/>
      <c r="G644" s="33"/>
      <c r="H644" s="33" t="s">
        <v>320</v>
      </c>
      <c r="I644" s="108">
        <f>I633-I642</f>
        <v>61390.50729999998</v>
      </c>
      <c r="J644" s="8"/>
      <c r="K644" s="12">
        <f>K633-K642</f>
        <v>63992.718649999995</v>
      </c>
      <c r="L644" s="8"/>
      <c r="M644" s="28">
        <f>M633-M642</f>
        <v>4196.353350000003</v>
      </c>
      <c r="N644" s="8"/>
      <c r="O644" s="12">
        <f>O633-O642</f>
        <v>4809.95995</v>
      </c>
      <c r="P644" s="8"/>
      <c r="Q644" s="28">
        <f>Q633-Q642</f>
        <v>65586.86064999999</v>
      </c>
      <c r="R644" s="8"/>
      <c r="S644" s="12">
        <f>S633-S642</f>
        <v>68802.67860000001</v>
      </c>
      <c r="T644" s="53"/>
    </row>
    <row r="645" spans="1:20" ht="12.75" customHeight="1">
      <c r="A645" s="51"/>
      <c r="C645" s="12" t="s">
        <v>436</v>
      </c>
      <c r="I645" s="109"/>
      <c r="J645" s="8"/>
      <c r="K645" s="35"/>
      <c r="L645" s="8"/>
      <c r="M645" s="34"/>
      <c r="N645" s="8"/>
      <c r="O645" s="35"/>
      <c r="P645" s="8"/>
      <c r="Q645" s="34"/>
      <c r="R645" s="8"/>
      <c r="S645" s="35"/>
      <c r="T645" s="53"/>
    </row>
    <row r="646" spans="1:20" ht="12.75" customHeight="1">
      <c r="A646" s="51"/>
      <c r="C646" s="12" t="s">
        <v>437</v>
      </c>
      <c r="F646" s="33"/>
      <c r="G646" s="33"/>
      <c r="H646" s="33" t="s">
        <v>320</v>
      </c>
      <c r="I646" s="108">
        <v>0</v>
      </c>
      <c r="J646" s="8"/>
      <c r="K646" s="8">
        <v>0</v>
      </c>
      <c r="L646" s="8"/>
      <c r="M646" s="108">
        <v>976.14214</v>
      </c>
      <c r="N646" s="8"/>
      <c r="O646" s="8">
        <v>1927</v>
      </c>
      <c r="P646" s="8"/>
      <c r="Q646" s="28">
        <f>I646+M646</f>
        <v>976.14214</v>
      </c>
      <c r="R646" s="8"/>
      <c r="S646" s="8">
        <f>K646+O646</f>
        <v>1927</v>
      </c>
      <c r="T646" s="53"/>
    </row>
    <row r="647" spans="1:20" ht="12" customHeight="1">
      <c r="A647" s="51"/>
      <c r="C647" s="12"/>
      <c r="F647" s="33"/>
      <c r="G647" s="33"/>
      <c r="H647" s="33"/>
      <c r="I647" s="13"/>
      <c r="J647" s="8"/>
      <c r="K647" s="8"/>
      <c r="L647" s="8"/>
      <c r="M647" s="13"/>
      <c r="N647" s="8"/>
      <c r="O647" s="8"/>
      <c r="P647" s="8"/>
      <c r="Q647" s="28"/>
      <c r="R647" s="8"/>
      <c r="S647" s="8"/>
      <c r="T647" s="53"/>
    </row>
    <row r="648" spans="1:20" ht="12" customHeight="1">
      <c r="A648" s="51"/>
      <c r="C648" s="12"/>
      <c r="F648" s="33"/>
      <c r="G648" s="33"/>
      <c r="H648" s="33"/>
      <c r="I648" s="13"/>
      <c r="J648" s="8"/>
      <c r="K648" s="8"/>
      <c r="L648" s="8"/>
      <c r="M648" s="13"/>
      <c r="N648" s="8"/>
      <c r="O648" s="8"/>
      <c r="P648" s="8"/>
      <c r="Q648" s="28"/>
      <c r="R648" s="8"/>
      <c r="S648" s="8"/>
      <c r="T648" s="53"/>
    </row>
    <row r="649" spans="1:20" ht="13.5" customHeight="1">
      <c r="A649" s="51"/>
      <c r="B649" s="32">
        <v>21</v>
      </c>
      <c r="C649" s="9" t="s">
        <v>438</v>
      </c>
      <c r="P649" s="8"/>
      <c r="Q649" s="28"/>
      <c r="T649" s="53"/>
    </row>
    <row r="650" spans="1:20" ht="12.75" customHeight="1">
      <c r="A650" s="51"/>
      <c r="C650" s="12" t="s">
        <v>241</v>
      </c>
      <c r="I650" s="33"/>
      <c r="J650" s="33"/>
      <c r="K650" s="33"/>
      <c r="L650" s="33"/>
      <c r="M650" s="33"/>
      <c r="N650" s="33"/>
      <c r="O650" s="33"/>
      <c r="P650" s="33" t="s">
        <v>320</v>
      </c>
      <c r="Q650" s="108">
        <v>0</v>
      </c>
      <c r="R650" s="8"/>
      <c r="S650" s="8">
        <v>0</v>
      </c>
      <c r="T650" s="53"/>
    </row>
    <row r="651" spans="1:20" ht="12.75" customHeight="1">
      <c r="A651" s="51"/>
      <c r="C651" s="12" t="s">
        <v>242</v>
      </c>
      <c r="I651" s="33"/>
      <c r="J651" s="33"/>
      <c r="K651" s="33"/>
      <c r="L651" s="33"/>
      <c r="M651" s="33"/>
      <c r="N651" s="33"/>
      <c r="O651" s="33"/>
      <c r="P651" s="33" t="s">
        <v>320</v>
      </c>
      <c r="Q651" s="108">
        <f>M397</f>
        <v>70440.6241</v>
      </c>
      <c r="R651" s="8"/>
      <c r="S651" s="8">
        <f>O397</f>
        <v>57301.48861</v>
      </c>
      <c r="T651" s="53"/>
    </row>
    <row r="652" spans="1:20" ht="12.75" customHeight="1">
      <c r="A652" s="51"/>
      <c r="C652" s="12" t="s">
        <v>80</v>
      </c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 t="s">
        <v>320</v>
      </c>
      <c r="Q652" s="34">
        <f>SUM(Q650:Q651)</f>
        <v>70440.6241</v>
      </c>
      <c r="S652" s="39">
        <f>SUM(S650:S651)</f>
        <v>57301.48861</v>
      </c>
      <c r="T652" s="53"/>
    </row>
    <row r="653" spans="1:20" ht="12" customHeight="1">
      <c r="A653" s="51"/>
      <c r="C653" s="12"/>
      <c r="F653" s="33"/>
      <c r="G653" s="33"/>
      <c r="H653" s="33"/>
      <c r="I653" s="13"/>
      <c r="J653" s="8"/>
      <c r="K653" s="8"/>
      <c r="L653" s="8"/>
      <c r="M653" s="13"/>
      <c r="N653" s="8"/>
      <c r="O653" s="8"/>
      <c r="P653" s="8"/>
      <c r="Q653" s="34"/>
      <c r="R653" s="8"/>
      <c r="S653" s="35"/>
      <c r="T653" s="53"/>
    </row>
    <row r="654" spans="2:19" ht="12.75">
      <c r="B654" s="32">
        <v>22</v>
      </c>
      <c r="C654" s="9" t="s">
        <v>243</v>
      </c>
      <c r="P654" s="8"/>
      <c r="Q654" s="108"/>
      <c r="R654" s="8"/>
      <c r="S654" s="8"/>
    </row>
    <row r="655" spans="3:19" ht="12.75">
      <c r="C655" s="12" t="s">
        <v>850</v>
      </c>
      <c r="G655" s="33"/>
      <c r="H655" s="33"/>
      <c r="I655" s="33"/>
      <c r="J655" s="33"/>
      <c r="K655" s="33"/>
      <c r="L655" s="33"/>
      <c r="M655" s="33"/>
      <c r="N655" s="33"/>
      <c r="O655" s="33"/>
      <c r="P655" s="33" t="s">
        <v>320</v>
      </c>
      <c r="Q655" s="108">
        <f>1677042-133.75366</f>
        <v>1676908.24634</v>
      </c>
      <c r="R655" s="8"/>
      <c r="S655" s="8">
        <f>1718273-241.93712</f>
        <v>1718031.06288</v>
      </c>
    </row>
    <row r="656" spans="3:19" ht="12.75">
      <c r="C656" s="12" t="s">
        <v>851</v>
      </c>
      <c r="G656" s="33"/>
      <c r="H656" s="33"/>
      <c r="I656" s="33"/>
      <c r="J656" s="33"/>
      <c r="K656" s="33"/>
      <c r="L656" s="33"/>
      <c r="M656" s="33"/>
      <c r="N656" s="33"/>
      <c r="O656" s="33"/>
      <c r="P656" s="33" t="s">
        <v>320</v>
      </c>
      <c r="Q656" s="108">
        <f>1616295-16349.28162</f>
        <v>1599945.71838</v>
      </c>
      <c r="R656" s="8"/>
      <c r="S656" s="8">
        <f>1514624-16217.62391</f>
        <v>1498406.37609</v>
      </c>
    </row>
    <row r="657" spans="3:19" ht="12.75">
      <c r="C657" s="12" t="s">
        <v>159</v>
      </c>
      <c r="G657" s="33"/>
      <c r="H657" s="33"/>
      <c r="I657" s="33"/>
      <c r="J657" s="33"/>
      <c r="K657" s="33"/>
      <c r="L657" s="33"/>
      <c r="M657" s="33"/>
      <c r="N657" s="33"/>
      <c r="O657" s="33"/>
      <c r="P657" s="33" t="s">
        <v>320</v>
      </c>
      <c r="Q657" s="108">
        <v>113661.4</v>
      </c>
      <c r="R657" s="8"/>
      <c r="S657" s="8">
        <v>130759.4</v>
      </c>
    </row>
    <row r="658" spans="3:19" ht="12.75">
      <c r="C658" s="12" t="s">
        <v>160</v>
      </c>
      <c r="G658" s="33"/>
      <c r="H658" s="33"/>
      <c r="I658" s="33"/>
      <c r="J658" s="33"/>
      <c r="K658" s="33"/>
      <c r="L658" s="33"/>
      <c r="M658" s="33"/>
      <c r="N658" s="33"/>
      <c r="O658" s="33"/>
      <c r="P658" s="33" t="s">
        <v>320</v>
      </c>
      <c r="Q658" s="108">
        <v>462676.4</v>
      </c>
      <c r="R658" s="8"/>
      <c r="S658" s="8">
        <v>416286</v>
      </c>
    </row>
    <row r="659" spans="3:19" ht="12.75">
      <c r="C659" s="12" t="s">
        <v>740</v>
      </c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 t="s">
        <v>320</v>
      </c>
      <c r="Q659" s="34">
        <f>SUM(Q655:Q658)</f>
        <v>3853191.76472</v>
      </c>
      <c r="S659" s="39">
        <f>SUM(S655:S658)</f>
        <v>3763482.83897</v>
      </c>
    </row>
    <row r="660" spans="16:19" ht="12.75">
      <c r="P660" s="8"/>
      <c r="Q660" s="109"/>
      <c r="R660" s="8"/>
      <c r="S660" s="35"/>
    </row>
    <row r="661" spans="2:19" ht="12.75">
      <c r="B661" s="32">
        <v>23</v>
      </c>
      <c r="C661" s="9" t="s">
        <v>741</v>
      </c>
      <c r="P661" s="8"/>
      <c r="Q661" s="108"/>
      <c r="R661" s="8"/>
      <c r="S661" s="8"/>
    </row>
    <row r="662" spans="3:19" ht="12.75">
      <c r="C662" s="12" t="s">
        <v>742</v>
      </c>
      <c r="N662" s="33"/>
      <c r="O662" s="33"/>
      <c r="P662" s="33" t="s">
        <v>320</v>
      </c>
      <c r="Q662" s="108">
        <v>4152.91202</v>
      </c>
      <c r="R662" s="8"/>
      <c r="S662" s="8">
        <v>4843</v>
      </c>
    </row>
    <row r="663" spans="3:19" ht="12.75">
      <c r="C663" s="12" t="s">
        <v>743</v>
      </c>
      <c r="K663" s="33"/>
      <c r="L663" s="33"/>
      <c r="M663" s="33"/>
      <c r="N663" s="33"/>
      <c r="O663" s="33"/>
      <c r="P663" s="33" t="s">
        <v>320</v>
      </c>
      <c r="Q663" s="108">
        <v>0</v>
      </c>
      <c r="R663" s="8"/>
      <c r="S663" s="8">
        <v>0</v>
      </c>
    </row>
    <row r="664" spans="3:19" ht="12.75">
      <c r="C664" s="12" t="s">
        <v>744</v>
      </c>
      <c r="L664" s="33"/>
      <c r="M664" s="33"/>
      <c r="N664" s="33"/>
      <c r="O664" s="33"/>
      <c r="P664" s="33" t="s">
        <v>320</v>
      </c>
      <c r="Q664" s="108">
        <v>75</v>
      </c>
      <c r="R664" s="8"/>
      <c r="S664" s="8">
        <v>75</v>
      </c>
    </row>
    <row r="665" spans="3:19" ht="12.75">
      <c r="C665" s="12" t="s">
        <v>63</v>
      </c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 t="s">
        <v>320</v>
      </c>
      <c r="Q665" s="34">
        <f>SUM(Q662:Q664)</f>
        <v>4227.91202</v>
      </c>
      <c r="S665" s="39">
        <f>SUM(S662:S664)</f>
        <v>4918</v>
      </c>
    </row>
    <row r="666" spans="3:19" ht="12.75">
      <c r="C666" s="12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109"/>
      <c r="S666" s="39"/>
    </row>
    <row r="667" spans="2:19" ht="12.75">
      <c r="B667" s="32">
        <v>24</v>
      </c>
      <c r="C667" s="9" t="s">
        <v>745</v>
      </c>
      <c r="P667" s="8"/>
      <c r="Q667" s="108"/>
      <c r="R667" s="8"/>
      <c r="S667" s="8"/>
    </row>
    <row r="668" spans="3:19" ht="12.75">
      <c r="C668" s="9" t="s">
        <v>746</v>
      </c>
      <c r="P668" s="8"/>
      <c r="Q668" s="108"/>
      <c r="R668" s="8"/>
      <c r="S668" s="8"/>
    </row>
    <row r="669" spans="3:19" ht="12.75">
      <c r="C669" s="12" t="s">
        <v>747</v>
      </c>
      <c r="P669" s="8"/>
      <c r="Q669" s="108"/>
      <c r="R669" s="8"/>
      <c r="S669" s="8"/>
    </row>
    <row r="670" spans="3:19" ht="12.75">
      <c r="C670" s="12" t="s">
        <v>688</v>
      </c>
      <c r="P670" s="8"/>
      <c r="Q670" s="108"/>
      <c r="R670" s="8"/>
      <c r="S670" s="8"/>
    </row>
    <row r="671" spans="3:19" ht="12.75">
      <c r="C671" s="12" t="s">
        <v>220</v>
      </c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 t="s">
        <v>320</v>
      </c>
      <c r="Q671" s="108">
        <v>11511</v>
      </c>
      <c r="R671" s="8"/>
      <c r="S671" s="8">
        <v>13150</v>
      </c>
    </row>
    <row r="672" spans="3:19" ht="12.75">
      <c r="C672" s="12" t="s">
        <v>704</v>
      </c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8"/>
      <c r="Q672" s="108"/>
      <c r="R672" s="8"/>
      <c r="S672" s="8"/>
    </row>
    <row r="673" spans="3:19" ht="12.75">
      <c r="C673" s="12" t="s">
        <v>748</v>
      </c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 t="s">
        <v>320</v>
      </c>
      <c r="Q673" s="108">
        <v>2832</v>
      </c>
      <c r="R673" s="8"/>
      <c r="S673" s="8">
        <v>2788</v>
      </c>
    </row>
    <row r="674" spans="17:19" ht="12.75">
      <c r="Q674" s="108"/>
      <c r="R674" s="8"/>
      <c r="S674" s="8"/>
    </row>
    <row r="675" spans="3:19" ht="12.75">
      <c r="C675" s="12" t="s">
        <v>749</v>
      </c>
      <c r="Q675" s="108"/>
      <c r="R675" s="8"/>
      <c r="S675" s="8"/>
    </row>
    <row r="676" spans="3:19" ht="12.75">
      <c r="C676" s="12" t="s">
        <v>688</v>
      </c>
      <c r="P676" s="8"/>
      <c r="Q676" s="108"/>
      <c r="R676" s="8"/>
      <c r="S676" s="8"/>
    </row>
    <row r="677" spans="3:19" ht="12.75">
      <c r="C677" s="12" t="s">
        <v>220</v>
      </c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 t="s">
        <v>320</v>
      </c>
      <c r="Q677" s="108">
        <v>5125</v>
      </c>
      <c r="R677" s="8"/>
      <c r="S677" s="8">
        <v>0</v>
      </c>
    </row>
    <row r="678" spans="3:19" ht="12.75">
      <c r="C678" s="12" t="s">
        <v>704</v>
      </c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Q678" s="108"/>
      <c r="R678" s="8"/>
      <c r="S678" s="8"/>
    </row>
    <row r="679" spans="3:19" ht="12.75">
      <c r="C679" s="12" t="s">
        <v>236</v>
      </c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 t="s">
        <v>320</v>
      </c>
      <c r="Q679" s="108">
        <v>108209</v>
      </c>
      <c r="R679" s="8"/>
      <c r="S679" s="8">
        <v>104609</v>
      </c>
    </row>
    <row r="680" spans="8:17" ht="12.75">
      <c r="H680" s="8"/>
      <c r="J680" s="8"/>
      <c r="L680" s="8"/>
      <c r="N680" s="8"/>
      <c r="P680" s="8"/>
      <c r="Q680" s="108"/>
    </row>
    <row r="681" spans="1:19" ht="15.75">
      <c r="A681" s="7" t="s">
        <v>0</v>
      </c>
      <c r="B681" s="3"/>
      <c r="C681" s="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6:17" ht="12.75">
      <c r="P682" s="8"/>
      <c r="Q682" s="3"/>
    </row>
    <row r="683" spans="3:19" ht="12.75">
      <c r="C683" s="12" t="s">
        <v>114</v>
      </c>
      <c r="I683" s="11"/>
      <c r="J683" s="13"/>
      <c r="K683" s="11"/>
      <c r="L683" s="13"/>
      <c r="M683" s="11"/>
      <c r="N683" s="13"/>
      <c r="O683" s="11"/>
      <c r="P683" s="8"/>
      <c r="Q683" s="44">
        <f>Q625</f>
        <v>2004</v>
      </c>
      <c r="S683" s="10">
        <f>S625</f>
        <v>2003</v>
      </c>
    </row>
    <row r="684" spans="2:19" ht="12.75">
      <c r="B684" s="32">
        <v>25</v>
      </c>
      <c r="C684" s="9" t="s">
        <v>750</v>
      </c>
      <c r="H684" s="8"/>
      <c r="J684" s="8"/>
      <c r="L684" s="8"/>
      <c r="N684" s="8"/>
      <c r="O684" s="37" t="s">
        <v>345</v>
      </c>
      <c r="P684" s="3"/>
      <c r="Q684" s="29"/>
      <c r="R684" s="3"/>
      <c r="S684" s="3"/>
    </row>
    <row r="685" spans="3:19" ht="12.75">
      <c r="C685" s="12" t="s">
        <v>751</v>
      </c>
      <c r="H685" s="8"/>
      <c r="J685" s="8"/>
      <c r="L685" s="8"/>
      <c r="N685" s="8"/>
      <c r="O685" s="37" t="s">
        <v>346</v>
      </c>
      <c r="P685" s="3"/>
      <c r="Q685" s="29"/>
      <c r="R685" s="3"/>
      <c r="S685" s="3"/>
    </row>
    <row r="686" spans="3:17" ht="12.75">
      <c r="C686" s="12" t="s">
        <v>752</v>
      </c>
      <c r="G686" s="13"/>
      <c r="Q686" s="112"/>
    </row>
    <row r="687" spans="7:17" ht="12.75">
      <c r="G687" s="13"/>
      <c r="Q687" s="108"/>
    </row>
    <row r="688" spans="3:19" ht="12.75">
      <c r="C688" s="12" t="s">
        <v>753</v>
      </c>
      <c r="G688" s="13"/>
      <c r="J688" s="33"/>
      <c r="K688" s="33"/>
      <c r="L688" s="33"/>
      <c r="M688" s="33"/>
      <c r="N688" s="33"/>
      <c r="O688" s="33"/>
      <c r="P688" s="33" t="s">
        <v>320</v>
      </c>
      <c r="Q688" s="108">
        <v>3.9</v>
      </c>
      <c r="S688" s="12">
        <v>4</v>
      </c>
    </row>
    <row r="689" spans="3:19" ht="12.75">
      <c r="C689" s="12" t="s">
        <v>754</v>
      </c>
      <c r="G689" s="13"/>
      <c r="Q689" s="109"/>
      <c r="S689" s="35"/>
    </row>
    <row r="690" spans="3:19" ht="12.75">
      <c r="C690" s="12" t="s">
        <v>755</v>
      </c>
      <c r="G690" s="13"/>
      <c r="J690" s="33"/>
      <c r="K690" s="33"/>
      <c r="L690" s="33"/>
      <c r="M690" s="33"/>
      <c r="N690" s="33"/>
      <c r="O690" s="33"/>
      <c r="P690" s="33" t="s">
        <v>320</v>
      </c>
      <c r="Q690" s="108">
        <f>0.16+5.58+8.98</f>
        <v>14.72</v>
      </c>
      <c r="R690" s="8"/>
      <c r="S690" s="8">
        <v>18</v>
      </c>
    </row>
    <row r="691" spans="3:19" ht="12.75">
      <c r="C691" s="12" t="s">
        <v>756</v>
      </c>
      <c r="G691" s="13"/>
      <c r="J691" s="33"/>
      <c r="K691" s="33"/>
      <c r="L691" s="33"/>
      <c r="M691" s="33"/>
      <c r="N691" s="33"/>
      <c r="O691" s="33"/>
      <c r="P691" s="33" t="s">
        <v>320</v>
      </c>
      <c r="Q691" s="108">
        <v>7.7</v>
      </c>
      <c r="R691" s="8"/>
      <c r="S691" s="8">
        <v>9</v>
      </c>
    </row>
    <row r="692" spans="3:19" ht="12.75">
      <c r="C692" s="12" t="s">
        <v>757</v>
      </c>
      <c r="G692" s="13"/>
      <c r="J692" s="33"/>
      <c r="K692" s="33"/>
      <c r="L692" s="33"/>
      <c r="M692" s="33"/>
      <c r="N692" s="33"/>
      <c r="O692" s="33"/>
      <c r="P692" s="33" t="s">
        <v>320</v>
      </c>
      <c r="Q692" s="113">
        <v>1.68</v>
      </c>
      <c r="R692" s="8"/>
      <c r="S692" s="8">
        <v>2</v>
      </c>
    </row>
    <row r="693" spans="3:19" ht="12.75">
      <c r="C693" s="12" t="s">
        <v>758</v>
      </c>
      <c r="G693" s="13"/>
      <c r="N693" s="33"/>
      <c r="O693" s="33"/>
      <c r="P693" s="33" t="s">
        <v>320</v>
      </c>
      <c r="Q693" s="108">
        <v>6.67</v>
      </c>
      <c r="R693" s="8"/>
      <c r="S693" s="8">
        <v>6</v>
      </c>
    </row>
    <row r="694" spans="3:19" ht="12.75">
      <c r="C694" s="12" t="s">
        <v>759</v>
      </c>
      <c r="G694" s="13"/>
      <c r="J694" s="33"/>
      <c r="K694" s="33"/>
      <c r="L694" s="33"/>
      <c r="M694" s="33"/>
      <c r="N694" s="33"/>
      <c r="O694" s="33"/>
      <c r="P694" s="33" t="s">
        <v>320</v>
      </c>
      <c r="Q694" s="108">
        <v>2.94</v>
      </c>
      <c r="R694" s="8"/>
      <c r="S694" s="8">
        <v>4</v>
      </c>
    </row>
    <row r="695" spans="3:19" ht="12.75">
      <c r="C695" s="12" t="s">
        <v>760</v>
      </c>
      <c r="G695" s="13"/>
      <c r="N695" s="33"/>
      <c r="O695" s="33"/>
      <c r="P695" s="33" t="s">
        <v>320</v>
      </c>
      <c r="Q695" s="113">
        <v>2.4</v>
      </c>
      <c r="R695" s="8"/>
      <c r="S695" s="8">
        <v>2</v>
      </c>
    </row>
    <row r="696" spans="3:19" ht="12.75">
      <c r="C696" s="12" t="s">
        <v>761</v>
      </c>
      <c r="G696" s="55"/>
      <c r="H696" s="55"/>
      <c r="I696" s="55"/>
      <c r="J696" s="55"/>
      <c r="K696" s="55"/>
      <c r="L696" s="55"/>
      <c r="M696" s="55"/>
      <c r="N696" s="33"/>
      <c r="O696" s="33"/>
      <c r="P696" s="33" t="s">
        <v>320</v>
      </c>
      <c r="Q696" s="108">
        <v>2.68</v>
      </c>
      <c r="S696" s="12">
        <v>0</v>
      </c>
    </row>
    <row r="697" spans="3:19" ht="12.75">
      <c r="C697" s="12" t="s">
        <v>762</v>
      </c>
      <c r="G697" s="55"/>
      <c r="H697" s="55"/>
      <c r="I697" s="55"/>
      <c r="J697" s="55"/>
      <c r="K697" s="55"/>
      <c r="L697" s="55"/>
      <c r="M697" s="55"/>
      <c r="N697" s="33"/>
      <c r="O697" s="33"/>
      <c r="P697" s="33" t="s">
        <v>320</v>
      </c>
      <c r="Q697" s="109">
        <f>SUM(Q690:Q696)</f>
        <v>38.79</v>
      </c>
      <c r="R697" s="8"/>
      <c r="S697" s="35">
        <f>SUM(S690:S696)</f>
        <v>41</v>
      </c>
    </row>
    <row r="698" spans="3:19" ht="12.75">
      <c r="C698" s="12" t="s">
        <v>763</v>
      </c>
      <c r="G698" s="55"/>
      <c r="H698" s="55"/>
      <c r="I698" s="55"/>
      <c r="J698" s="55"/>
      <c r="K698" s="55"/>
      <c r="L698" s="55"/>
      <c r="M698" s="55"/>
      <c r="N698" s="33"/>
      <c r="O698" s="33"/>
      <c r="P698" s="33" t="s">
        <v>320</v>
      </c>
      <c r="Q698" s="108">
        <v>57.49</v>
      </c>
      <c r="R698" s="8"/>
      <c r="S698" s="8">
        <v>55</v>
      </c>
    </row>
    <row r="699" spans="3:19" ht="12.75">
      <c r="C699" s="12" t="s">
        <v>764</v>
      </c>
      <c r="G699" s="55"/>
      <c r="H699" s="55"/>
      <c r="I699" s="55"/>
      <c r="J699" s="55"/>
      <c r="K699" s="55"/>
      <c r="L699" s="55"/>
      <c r="M699" s="55"/>
      <c r="N699" s="33"/>
      <c r="O699" s="33"/>
      <c r="P699" s="33" t="s">
        <v>320</v>
      </c>
      <c r="Q699" s="34">
        <f>Q688+Q697+Q698</f>
        <v>100.18</v>
      </c>
      <c r="S699" s="39">
        <f>S688+S697+S698</f>
        <v>100</v>
      </c>
    </row>
    <row r="700" spans="3:19" ht="12.75">
      <c r="C700" s="12"/>
      <c r="G700" s="55"/>
      <c r="H700" s="55"/>
      <c r="I700" s="55"/>
      <c r="J700" s="55"/>
      <c r="K700" s="55"/>
      <c r="L700" s="55"/>
      <c r="M700" s="55"/>
      <c r="N700" s="33"/>
      <c r="O700" s="33"/>
      <c r="P700" s="33"/>
      <c r="Q700" s="34"/>
      <c r="S700" s="39"/>
    </row>
    <row r="701" spans="2:19" ht="12.75">
      <c r="B701" s="32">
        <v>26</v>
      </c>
      <c r="C701" s="9" t="s">
        <v>765</v>
      </c>
      <c r="G701" s="13"/>
      <c r="N701" s="8"/>
      <c r="P701" s="8"/>
      <c r="Q701" s="28"/>
      <c r="R701" s="8"/>
      <c r="S701" s="8"/>
    </row>
    <row r="702" spans="3:19" ht="12.75">
      <c r="C702" s="9" t="s">
        <v>766</v>
      </c>
      <c r="G702" s="13"/>
      <c r="N702" s="8"/>
      <c r="P702" s="8"/>
      <c r="Q702" s="28"/>
      <c r="R702" s="8"/>
      <c r="S702" s="8"/>
    </row>
    <row r="703" spans="3:19" ht="12.75">
      <c r="C703" s="12"/>
      <c r="G703" s="13"/>
      <c r="N703" s="8"/>
      <c r="P703" s="8"/>
      <c r="Q703" s="28"/>
      <c r="R703" s="8"/>
      <c r="S703" s="8"/>
    </row>
    <row r="704" spans="3:19" ht="12.75">
      <c r="C704" s="12" t="s">
        <v>767</v>
      </c>
      <c r="H704" s="33"/>
      <c r="I704" s="33"/>
      <c r="J704" s="33"/>
      <c r="K704" s="33"/>
      <c r="L704" s="33"/>
      <c r="M704" s="33"/>
      <c r="N704" s="33"/>
      <c r="O704" s="33"/>
      <c r="P704" s="33" t="s">
        <v>320</v>
      </c>
      <c r="Q704" s="28"/>
      <c r="R704" s="8"/>
      <c r="S704" s="8"/>
    </row>
    <row r="705" spans="3:19" ht="12.75">
      <c r="C705" s="14" t="s">
        <v>181</v>
      </c>
      <c r="D705" s="9"/>
      <c r="E705" s="9"/>
      <c r="F705" s="9"/>
      <c r="N705" s="8"/>
      <c r="P705" s="33" t="s">
        <v>320</v>
      </c>
      <c r="Q705" s="108">
        <v>0</v>
      </c>
      <c r="R705" s="8"/>
      <c r="S705" s="8">
        <v>0</v>
      </c>
    </row>
    <row r="706" spans="3:19" ht="12.75">
      <c r="C706" s="14" t="s">
        <v>182</v>
      </c>
      <c r="N706" s="8"/>
      <c r="P706" s="33" t="s">
        <v>320</v>
      </c>
      <c r="Q706" s="108">
        <v>312</v>
      </c>
      <c r="R706" s="8"/>
      <c r="S706" s="8">
        <v>2279</v>
      </c>
    </row>
    <row r="707" spans="3:19" ht="12.75">
      <c r="C707" s="14" t="s">
        <v>183</v>
      </c>
      <c r="N707" s="8"/>
      <c r="P707" s="33" t="s">
        <v>320</v>
      </c>
      <c r="Q707" s="108">
        <v>245</v>
      </c>
      <c r="R707" s="8"/>
      <c r="S707" s="8">
        <v>209</v>
      </c>
    </row>
    <row r="708" spans="3:19" ht="12.75">
      <c r="C708" s="12"/>
      <c r="G708" s="55"/>
      <c r="H708" s="55"/>
      <c r="I708" s="55"/>
      <c r="J708" s="55"/>
      <c r="K708" s="55"/>
      <c r="L708" s="55"/>
      <c r="M708" s="55"/>
      <c r="N708" s="33"/>
      <c r="O708" s="33"/>
      <c r="P708" s="33"/>
      <c r="Q708" s="108"/>
      <c r="S708" s="12"/>
    </row>
    <row r="709" spans="2:19" ht="12.75">
      <c r="B709" s="32">
        <v>27</v>
      </c>
      <c r="C709" s="9" t="s">
        <v>184</v>
      </c>
      <c r="P709" s="8"/>
      <c r="Q709" s="108"/>
      <c r="R709" s="8"/>
      <c r="S709" s="8"/>
    </row>
    <row r="710" spans="3:19" ht="12.75">
      <c r="C710" s="12" t="s">
        <v>185</v>
      </c>
      <c r="N710" s="33"/>
      <c r="O710" s="33"/>
      <c r="P710" s="33" t="s">
        <v>320</v>
      </c>
      <c r="Q710" s="108">
        <f>251085+214178</f>
        <v>465263</v>
      </c>
      <c r="R710" s="8"/>
      <c r="S710" s="8">
        <v>571189</v>
      </c>
    </row>
    <row r="711" spans="3:19" ht="12.75">
      <c r="C711" s="12" t="s">
        <v>186</v>
      </c>
      <c r="P711" s="8"/>
      <c r="Q711" s="108"/>
      <c r="R711" s="8"/>
      <c r="S711" s="8"/>
    </row>
    <row r="712" spans="3:19" ht="12.75">
      <c r="C712" s="12" t="s">
        <v>187</v>
      </c>
      <c r="P712" s="33" t="s">
        <v>320</v>
      </c>
      <c r="Q712" s="108">
        <v>0</v>
      </c>
      <c r="R712" s="8"/>
      <c r="S712" s="8">
        <v>0</v>
      </c>
    </row>
    <row r="713" spans="3:19" ht="12.75">
      <c r="C713" s="12" t="s">
        <v>188</v>
      </c>
      <c r="M713" s="33"/>
      <c r="N713" s="33"/>
      <c r="O713" s="33"/>
      <c r="P713" s="33" t="s">
        <v>320</v>
      </c>
      <c r="Q713" s="34">
        <f>SUM(Q710:Q712)</f>
        <v>465263</v>
      </c>
      <c r="S713" s="39">
        <f>SUM(S710:S712)</f>
        <v>571189</v>
      </c>
    </row>
    <row r="714" spans="16:19" ht="12.75">
      <c r="P714" s="8"/>
      <c r="Q714" s="34"/>
      <c r="R714" s="8"/>
      <c r="S714" s="35"/>
    </row>
    <row r="715" spans="3:19" ht="12.75">
      <c r="C715" s="12" t="s">
        <v>189</v>
      </c>
      <c r="P715" s="8"/>
      <c r="Q715" s="28"/>
      <c r="R715" s="8"/>
      <c r="S715" s="8"/>
    </row>
    <row r="716" spans="3:19" ht="12.75">
      <c r="C716" s="12" t="s">
        <v>190</v>
      </c>
      <c r="P716" s="8"/>
      <c r="Q716" s="110">
        <v>11</v>
      </c>
      <c r="R716" s="17"/>
      <c r="S716" s="17">
        <v>13.5</v>
      </c>
    </row>
    <row r="717" spans="3:19" ht="12.75">
      <c r="C717" s="9"/>
      <c r="D717" s="9"/>
      <c r="E717" s="9"/>
      <c r="F717" s="9"/>
      <c r="P717" s="8"/>
      <c r="Q717" s="108"/>
      <c r="R717" s="8"/>
      <c r="S717" s="8"/>
    </row>
    <row r="718" spans="3:19" ht="12.75">
      <c r="C718" s="12" t="s">
        <v>191</v>
      </c>
      <c r="P718" s="8"/>
      <c r="Q718" s="108"/>
      <c r="R718" s="8"/>
      <c r="S718" s="8"/>
    </row>
    <row r="719" spans="3:19" ht="12.75">
      <c r="C719" s="12" t="s">
        <v>192</v>
      </c>
      <c r="N719" s="33"/>
      <c r="O719" s="33"/>
      <c r="P719" s="33" t="s">
        <v>320</v>
      </c>
      <c r="Q719" s="108">
        <v>72539</v>
      </c>
      <c r="R719" s="8"/>
      <c r="S719" s="8">
        <v>60576</v>
      </c>
    </row>
    <row r="720" ht="12.75">
      <c r="Q720" s="108"/>
    </row>
    <row r="721" ht="12.75" hidden="1"/>
    <row r="722" spans="2:19" ht="12.75" hidden="1">
      <c r="B722" s="32">
        <v>25</v>
      </c>
      <c r="C722" s="9" t="s">
        <v>193</v>
      </c>
      <c r="D722" s="9"/>
      <c r="E722" s="9"/>
      <c r="F722" s="9"/>
      <c r="P722" s="8"/>
      <c r="Q722" s="13"/>
      <c r="R722" s="8"/>
      <c r="S722" s="8"/>
    </row>
    <row r="723" spans="3:19" ht="12.75" hidden="1">
      <c r="C723" s="9" t="s">
        <v>194</v>
      </c>
      <c r="P723" s="8"/>
      <c r="Q723" s="13"/>
      <c r="R723" s="8"/>
      <c r="S723" s="8"/>
    </row>
    <row r="724" spans="3:19" ht="12.75" hidden="1">
      <c r="C724" s="12" t="s">
        <v>195</v>
      </c>
      <c r="P724" s="8"/>
      <c r="Q724" s="13"/>
      <c r="R724" s="8"/>
      <c r="S724" s="8"/>
    </row>
    <row r="725" spans="3:19" ht="12.75" hidden="1">
      <c r="C725" s="12" t="s">
        <v>196</v>
      </c>
      <c r="P725" s="8"/>
      <c r="Q725" s="13"/>
      <c r="R725" s="8"/>
      <c r="S725" s="8"/>
    </row>
    <row r="726" spans="3:19" ht="12.75" hidden="1">
      <c r="C726" s="12" t="s">
        <v>197</v>
      </c>
      <c r="P726" s="33" t="s">
        <v>320</v>
      </c>
      <c r="Q726" s="13">
        <v>0</v>
      </c>
      <c r="R726" s="8"/>
      <c r="S726" s="8">
        <v>0</v>
      </c>
    </row>
    <row r="727" spans="3:19" ht="12.75" hidden="1">
      <c r="C727" s="12" t="s">
        <v>198</v>
      </c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 t="s">
        <v>320</v>
      </c>
      <c r="Q727" s="13">
        <v>0</v>
      </c>
      <c r="R727" s="8"/>
      <c r="S727" s="8">
        <v>0</v>
      </c>
    </row>
    <row r="728" spans="16:19" ht="12.75" hidden="1">
      <c r="P728" s="8"/>
      <c r="Q728" s="13"/>
      <c r="R728" s="8"/>
      <c r="S728" s="8"/>
    </row>
    <row r="729" spans="3:19" ht="12.75" hidden="1">
      <c r="C729" s="12" t="s">
        <v>199</v>
      </c>
      <c r="P729" s="8"/>
      <c r="Q729" s="13"/>
      <c r="R729" s="8"/>
      <c r="S729" s="8"/>
    </row>
    <row r="730" spans="3:19" ht="12.75" hidden="1">
      <c r="C730" s="12" t="s">
        <v>200</v>
      </c>
      <c r="P730" s="8"/>
      <c r="Q730" s="13"/>
      <c r="R730" s="8"/>
      <c r="S730" s="8"/>
    </row>
    <row r="731" spans="3:19" ht="15.75" hidden="1">
      <c r="C731" s="14" t="s">
        <v>201</v>
      </c>
      <c r="D731" s="38"/>
      <c r="E731" s="38"/>
      <c r="F731" s="38"/>
      <c r="N731" s="33"/>
      <c r="O731" s="33"/>
      <c r="P731" s="33" t="s">
        <v>320</v>
      </c>
      <c r="Q731" s="13">
        <v>0</v>
      </c>
      <c r="R731" s="8"/>
      <c r="S731" s="8">
        <v>0</v>
      </c>
    </row>
    <row r="732" spans="3:19" ht="12.75" hidden="1">
      <c r="C732" s="12" t="s">
        <v>236</v>
      </c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 t="s">
        <v>320</v>
      </c>
      <c r="Q732" s="13">
        <v>0</v>
      </c>
      <c r="R732" s="8"/>
      <c r="S732" s="8">
        <v>0</v>
      </c>
    </row>
    <row r="733" spans="17:19" ht="12.75" hidden="1">
      <c r="Q733" s="13"/>
      <c r="R733" s="8"/>
      <c r="S733" s="8"/>
    </row>
    <row r="734" spans="3:19" ht="12.75" hidden="1">
      <c r="C734" s="12" t="s">
        <v>202</v>
      </c>
      <c r="Q734" s="13"/>
      <c r="R734" s="8"/>
      <c r="S734" s="8"/>
    </row>
    <row r="735" spans="3:19" ht="12.75" hidden="1">
      <c r="C735" s="12" t="s">
        <v>203</v>
      </c>
      <c r="D735" s="9"/>
      <c r="E735" s="9"/>
      <c r="F735" s="9"/>
      <c r="Q735" s="13"/>
      <c r="R735" s="8"/>
      <c r="S735" s="8"/>
    </row>
    <row r="736" spans="3:19" ht="12.75" hidden="1">
      <c r="C736" s="12"/>
      <c r="D736" s="9"/>
      <c r="E736" s="9"/>
      <c r="F736" s="9"/>
      <c r="Q736" s="13"/>
      <c r="R736" s="8"/>
      <c r="S736" s="8"/>
    </row>
    <row r="737" spans="3:19" ht="12.75">
      <c r="C737" s="9" t="s">
        <v>204</v>
      </c>
      <c r="P737" s="8"/>
      <c r="Q737" s="108"/>
      <c r="R737" s="8"/>
      <c r="S737" s="8"/>
    </row>
    <row r="738" spans="16:19" ht="12.75">
      <c r="P738" s="8"/>
      <c r="Q738" s="108"/>
      <c r="R738" s="8"/>
      <c r="S738" s="8"/>
    </row>
    <row r="739" spans="2:19" ht="12.75">
      <c r="B739" s="32">
        <v>28</v>
      </c>
      <c r="C739" s="9" t="s">
        <v>205</v>
      </c>
      <c r="D739" s="9"/>
      <c r="E739" s="9"/>
      <c r="F739" s="9"/>
      <c r="P739" s="8"/>
      <c r="Q739" s="108"/>
      <c r="R739" s="8"/>
      <c r="S739" s="8"/>
    </row>
    <row r="740" spans="3:19" ht="12.75">
      <c r="C740" s="12" t="s">
        <v>206</v>
      </c>
      <c r="J740" s="33"/>
      <c r="K740" s="33"/>
      <c r="L740" s="33"/>
      <c r="M740" s="33"/>
      <c r="N740" s="33"/>
      <c r="O740" s="33"/>
      <c r="P740" s="33" t="s">
        <v>320</v>
      </c>
      <c r="Q740" s="108">
        <v>25946</v>
      </c>
      <c r="R740" s="8"/>
      <c r="S740" s="8">
        <v>51868</v>
      </c>
    </row>
    <row r="741" spans="3:19" ht="12.75">
      <c r="C741" s="12" t="s">
        <v>207</v>
      </c>
      <c r="J741" s="33"/>
      <c r="K741" s="33"/>
      <c r="L741" s="33"/>
      <c r="M741" s="33"/>
      <c r="N741" s="33"/>
      <c r="O741" s="33"/>
      <c r="P741" s="33" t="s">
        <v>320</v>
      </c>
      <c r="Q741" s="108">
        <v>16917</v>
      </c>
      <c r="R741" s="8"/>
      <c r="S741" s="8">
        <v>19464</v>
      </c>
    </row>
    <row r="742" spans="3:19" ht="12.75">
      <c r="C742" s="12" t="s">
        <v>208</v>
      </c>
      <c r="J742" s="33"/>
      <c r="K742" s="33"/>
      <c r="L742" s="33"/>
      <c r="M742" s="33"/>
      <c r="N742" s="33"/>
      <c r="O742" s="33"/>
      <c r="P742" s="33" t="s">
        <v>320</v>
      </c>
      <c r="Q742" s="108">
        <v>55054</v>
      </c>
      <c r="R742" s="8"/>
      <c r="S742" s="8">
        <v>24165</v>
      </c>
    </row>
    <row r="743" spans="3:19" ht="12.75">
      <c r="C743" s="12" t="s">
        <v>209</v>
      </c>
      <c r="P743" s="8"/>
      <c r="Q743" s="108"/>
      <c r="R743" s="8"/>
      <c r="S743" s="8"/>
    </row>
    <row r="744" spans="3:19" ht="12.75">
      <c r="C744" s="12" t="s">
        <v>381</v>
      </c>
      <c r="J744" s="33"/>
      <c r="K744" s="33"/>
      <c r="L744" s="33"/>
      <c r="M744" s="33"/>
      <c r="N744" s="33"/>
      <c r="O744" s="33"/>
      <c r="P744" s="33" t="s">
        <v>320</v>
      </c>
      <c r="Q744" s="110">
        <v>3.5</v>
      </c>
      <c r="R744" s="17"/>
      <c r="S744" s="17">
        <v>1.6</v>
      </c>
    </row>
    <row r="745" spans="3:19" ht="12.75">
      <c r="C745" s="9"/>
      <c r="P745" s="8"/>
      <c r="Q745" s="108"/>
      <c r="R745" s="8"/>
      <c r="S745" s="8"/>
    </row>
    <row r="746" spans="2:19" ht="12.75">
      <c r="B746" s="32">
        <v>29</v>
      </c>
      <c r="C746" s="9" t="s">
        <v>382</v>
      </c>
      <c r="P746" s="8"/>
      <c r="Q746" s="108"/>
      <c r="R746" s="8"/>
      <c r="S746" s="8"/>
    </row>
    <row r="747" spans="3:19" ht="12.75">
      <c r="C747" s="12" t="s">
        <v>383</v>
      </c>
      <c r="L747" s="33"/>
      <c r="M747" s="33"/>
      <c r="N747" s="33"/>
      <c r="O747" s="33"/>
      <c r="P747" s="33" t="s">
        <v>320</v>
      </c>
      <c r="Q747" s="108">
        <v>22391</v>
      </c>
      <c r="R747" s="8"/>
      <c r="S747" s="8">
        <v>23139</v>
      </c>
    </row>
    <row r="748" spans="16:19" ht="12.75">
      <c r="P748" s="8"/>
      <c r="Q748" s="108"/>
      <c r="R748" s="8"/>
      <c r="S748" s="8"/>
    </row>
    <row r="749" spans="3:19" ht="12.75">
      <c r="C749" s="12" t="s">
        <v>545</v>
      </c>
      <c r="P749" s="8"/>
      <c r="Q749" s="108"/>
      <c r="R749" s="8"/>
      <c r="S749" s="8"/>
    </row>
    <row r="750" spans="3:19" ht="12.75">
      <c r="C750" s="12" t="s">
        <v>546</v>
      </c>
      <c r="P750" s="8"/>
      <c r="Q750" s="108"/>
      <c r="R750" s="8"/>
      <c r="S750" s="8"/>
    </row>
    <row r="751" spans="3:19" ht="12.75">
      <c r="C751" s="9"/>
      <c r="P751" s="8"/>
      <c r="Q751" s="108"/>
      <c r="R751" s="8"/>
      <c r="S751" s="8"/>
    </row>
    <row r="752" spans="3:19" ht="12.75">
      <c r="C752" s="12" t="s">
        <v>547</v>
      </c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 t="s">
        <v>320</v>
      </c>
      <c r="Q752" s="108">
        <v>22297</v>
      </c>
      <c r="R752" s="8"/>
      <c r="S752" s="8">
        <v>23112</v>
      </c>
    </row>
    <row r="753" spans="3:19" ht="12.75">
      <c r="C753" s="12" t="s">
        <v>548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 t="s">
        <v>320</v>
      </c>
      <c r="Q753" s="108">
        <v>94</v>
      </c>
      <c r="R753" s="8"/>
      <c r="S753" s="8">
        <v>28</v>
      </c>
    </row>
    <row r="754" spans="3:19" ht="12.75">
      <c r="C754" s="12" t="s">
        <v>549</v>
      </c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 t="s">
        <v>320</v>
      </c>
      <c r="Q754" s="108">
        <v>0</v>
      </c>
      <c r="R754" s="8"/>
      <c r="S754" s="8">
        <v>-1</v>
      </c>
    </row>
    <row r="755" spans="16:19" ht="12.75">
      <c r="P755" s="8"/>
      <c r="Q755" s="108"/>
      <c r="R755" s="8"/>
      <c r="S755" s="8"/>
    </row>
    <row r="756" spans="3:19" ht="12.75">
      <c r="C756" s="12" t="s">
        <v>550</v>
      </c>
      <c r="P756" s="8"/>
      <c r="Q756" s="108"/>
      <c r="R756" s="8"/>
      <c r="S756" s="8"/>
    </row>
    <row r="757" spans="3:19" ht="12.75">
      <c r="C757" s="9"/>
      <c r="P757" s="8"/>
      <c r="Q757" s="108"/>
      <c r="R757" s="8"/>
      <c r="S757" s="8"/>
    </row>
    <row r="758" spans="2:19" ht="12.75">
      <c r="B758" s="32">
        <v>30</v>
      </c>
      <c r="C758" s="9" t="s">
        <v>551</v>
      </c>
      <c r="P758" s="8"/>
      <c r="Q758" s="108"/>
      <c r="R758" s="8"/>
      <c r="S758" s="8"/>
    </row>
    <row r="759" spans="2:19" ht="12.75">
      <c r="B759" s="32"/>
      <c r="C759" s="9" t="s">
        <v>552</v>
      </c>
      <c r="P759" s="8"/>
      <c r="Q759" s="108"/>
      <c r="R759" s="8"/>
      <c r="S759" s="8"/>
    </row>
    <row r="760" spans="3:19" ht="12.75">
      <c r="C760" s="12" t="s">
        <v>553</v>
      </c>
      <c r="I760" s="33"/>
      <c r="J760" s="33"/>
      <c r="K760" s="33"/>
      <c r="L760" s="33"/>
      <c r="M760" s="33"/>
      <c r="N760" s="33"/>
      <c r="O760" s="33"/>
      <c r="P760" s="33" t="s">
        <v>320</v>
      </c>
      <c r="Q760" s="108">
        <v>79402</v>
      </c>
      <c r="R760" s="8"/>
      <c r="S760" s="8">
        <v>111702</v>
      </c>
    </row>
    <row r="761" spans="3:19" ht="12.75">
      <c r="C761" s="12" t="s">
        <v>554</v>
      </c>
      <c r="H761" s="33"/>
      <c r="I761" s="33"/>
      <c r="J761" s="33"/>
      <c r="K761" s="33"/>
      <c r="L761" s="33"/>
      <c r="M761" s="33"/>
      <c r="N761" s="33"/>
      <c r="O761" s="33"/>
      <c r="P761" s="33" t="s">
        <v>320</v>
      </c>
      <c r="Q761" s="108">
        <v>0</v>
      </c>
      <c r="R761" s="8"/>
      <c r="S761" s="8">
        <v>5000</v>
      </c>
    </row>
    <row r="762" spans="3:19" ht="12.75">
      <c r="C762" s="12" t="s">
        <v>63</v>
      </c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 t="s">
        <v>320</v>
      </c>
      <c r="Q762" s="34">
        <f>SUM(Q760:Q761)</f>
        <v>79402</v>
      </c>
      <c r="S762" s="39">
        <f>SUM(S760:S761)</f>
        <v>116702</v>
      </c>
    </row>
    <row r="763" spans="16:19" ht="12.75">
      <c r="P763" s="8"/>
      <c r="Q763" s="34"/>
      <c r="R763" s="8"/>
      <c r="S763" s="35"/>
    </row>
    <row r="764" spans="1:19" ht="15.75">
      <c r="A764" s="7" t="s">
        <v>0</v>
      </c>
      <c r="B764" s="3"/>
      <c r="C764" s="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3:19" ht="12.75">
      <c r="C765" s="12" t="s">
        <v>114</v>
      </c>
      <c r="H765" s="8"/>
      <c r="J765" s="8"/>
      <c r="L765" s="8"/>
      <c r="N765" s="8"/>
      <c r="P765" s="8"/>
      <c r="Q765" s="44">
        <f>Q683</f>
        <v>2004</v>
      </c>
      <c r="S765" s="10">
        <f>S683</f>
        <v>2003</v>
      </c>
    </row>
    <row r="766" spans="2:19" ht="12.75">
      <c r="B766" s="32">
        <v>31</v>
      </c>
      <c r="C766" s="9" t="s">
        <v>555</v>
      </c>
      <c r="P766" s="8"/>
      <c r="Q766" s="28"/>
      <c r="R766" s="8"/>
      <c r="S766" s="8"/>
    </row>
    <row r="767" spans="3:19" ht="12.75">
      <c r="C767" s="12" t="s">
        <v>556</v>
      </c>
      <c r="H767" s="33"/>
      <c r="I767" s="33"/>
      <c r="J767" s="33"/>
      <c r="K767" s="33"/>
      <c r="L767" s="33"/>
      <c r="M767" s="33"/>
      <c r="N767" s="33"/>
      <c r="O767" s="33"/>
      <c r="P767" s="33" t="s">
        <v>320</v>
      </c>
      <c r="Q767" s="108">
        <v>68604</v>
      </c>
      <c r="R767" s="8"/>
      <c r="S767" s="8">
        <v>55502</v>
      </c>
    </row>
    <row r="768" spans="3:19" ht="12.75">
      <c r="C768" s="12" t="s">
        <v>245</v>
      </c>
      <c r="D768" s="9"/>
      <c r="E768" s="9"/>
      <c r="F768" s="9"/>
      <c r="H768" s="33"/>
      <c r="I768" s="33"/>
      <c r="J768" s="33"/>
      <c r="K768" s="33"/>
      <c r="L768" s="33"/>
      <c r="M768" s="33"/>
      <c r="N768" s="33"/>
      <c r="O768" s="33"/>
      <c r="P768" s="33" t="s">
        <v>320</v>
      </c>
      <c r="Q768" s="108">
        <v>199993</v>
      </c>
      <c r="R768" s="8"/>
      <c r="S768" s="8">
        <v>173437</v>
      </c>
    </row>
    <row r="769" spans="3:19" ht="12.75">
      <c r="C769" s="12" t="s">
        <v>246</v>
      </c>
      <c r="L769" s="33"/>
      <c r="M769" s="33"/>
      <c r="N769" s="33"/>
      <c r="O769" s="33"/>
      <c r="P769" s="33" t="s">
        <v>320</v>
      </c>
      <c r="Q769" s="108">
        <v>589511</v>
      </c>
      <c r="R769" s="8"/>
      <c r="S769" s="8">
        <v>592487</v>
      </c>
    </row>
    <row r="770" spans="3:19" ht="12.75">
      <c r="C770" s="12" t="s">
        <v>247</v>
      </c>
      <c r="K770" s="33"/>
      <c r="L770" s="33"/>
      <c r="M770" s="33"/>
      <c r="N770" s="33"/>
      <c r="O770" s="33"/>
      <c r="P770" s="33" t="s">
        <v>320</v>
      </c>
      <c r="Q770" s="108">
        <v>1212232</v>
      </c>
      <c r="R770" s="8"/>
      <c r="S770" s="8">
        <v>1169527</v>
      </c>
    </row>
    <row r="771" spans="3:19" ht="12.75">
      <c r="C771" s="12" t="s">
        <v>248</v>
      </c>
      <c r="G771" s="33"/>
      <c r="H771" s="33"/>
      <c r="I771" s="33"/>
      <c r="J771" s="33"/>
      <c r="K771" s="33"/>
      <c r="L771" s="33"/>
      <c r="M771" s="33"/>
      <c r="N771" s="33"/>
      <c r="O771" s="33"/>
      <c r="P771" s="33" t="s">
        <v>320</v>
      </c>
      <c r="Q771" s="108">
        <v>1565525</v>
      </c>
      <c r="R771" s="8"/>
      <c r="S771" s="8">
        <v>1520842</v>
      </c>
    </row>
    <row r="772" spans="3:19" ht="12.75">
      <c r="C772" s="12" t="s">
        <v>80</v>
      </c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 t="s">
        <v>320</v>
      </c>
      <c r="Q772" s="34">
        <f>SUM(Q767:Q771)</f>
        <v>3635865</v>
      </c>
      <c r="S772" s="39">
        <f>SUM(S767:S771)</f>
        <v>3511795</v>
      </c>
    </row>
    <row r="773" spans="16:19" ht="12.75">
      <c r="P773" s="8"/>
      <c r="Q773" s="34"/>
      <c r="R773" s="8"/>
      <c r="S773" s="35"/>
    </row>
    <row r="774" spans="2:19" ht="15.75">
      <c r="B774" s="32">
        <v>32</v>
      </c>
      <c r="C774" s="50" t="s">
        <v>249</v>
      </c>
      <c r="D774" s="38"/>
      <c r="E774" s="38"/>
      <c r="F774" s="38"/>
      <c r="Q774" s="28"/>
      <c r="R774" s="8"/>
      <c r="S774" s="8"/>
    </row>
    <row r="775" spans="3:19" ht="15.75">
      <c r="C775" s="14" t="s">
        <v>250</v>
      </c>
      <c r="D775" s="38"/>
      <c r="E775" s="38"/>
      <c r="F775" s="38"/>
      <c r="H775" s="33"/>
      <c r="I775" s="33"/>
      <c r="J775" s="33"/>
      <c r="K775" s="33"/>
      <c r="L775" s="33"/>
      <c r="M775" s="33"/>
      <c r="N775" s="33"/>
      <c r="O775" s="33"/>
      <c r="P775" s="33" t="s">
        <v>320</v>
      </c>
      <c r="Q775" s="108">
        <f>Q652</f>
        <v>70440.6241</v>
      </c>
      <c r="R775" s="8"/>
      <c r="S775" s="8">
        <f>S652</f>
        <v>57301.48861</v>
      </c>
    </row>
    <row r="776" spans="3:19" ht="15.75">
      <c r="C776" s="12" t="s">
        <v>251</v>
      </c>
      <c r="D776" s="38"/>
      <c r="E776" s="38"/>
      <c r="F776" s="38"/>
      <c r="H776" s="33"/>
      <c r="I776" s="33"/>
      <c r="J776" s="33"/>
      <c r="K776" s="33"/>
      <c r="L776" s="33"/>
      <c r="M776" s="33"/>
      <c r="N776" s="33"/>
      <c r="O776" s="33"/>
      <c r="P776" s="33" t="s">
        <v>320</v>
      </c>
      <c r="Q776" s="108">
        <v>0</v>
      </c>
      <c r="R776" s="8"/>
      <c r="S776" s="8">
        <v>0</v>
      </c>
    </row>
    <row r="777" spans="3:19" ht="12.75">
      <c r="C777" s="12" t="s">
        <v>740</v>
      </c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 t="s">
        <v>320</v>
      </c>
      <c r="Q777" s="34">
        <f>SUM(Q775:Q776)</f>
        <v>70440.6241</v>
      </c>
      <c r="S777" s="39">
        <f>SUM(S775:S776)</f>
        <v>57301.48861</v>
      </c>
    </row>
    <row r="778" spans="16:19" ht="12.75">
      <c r="P778" s="8"/>
      <c r="Q778" s="34"/>
      <c r="R778" s="8"/>
      <c r="S778" s="35"/>
    </row>
    <row r="779" spans="2:19" ht="12.75">
      <c r="B779" s="32">
        <v>33</v>
      </c>
      <c r="C779" s="9" t="s">
        <v>243</v>
      </c>
      <c r="P779" s="8"/>
      <c r="Q779" s="28"/>
      <c r="R779" s="8"/>
      <c r="S779" s="8"/>
    </row>
    <row r="780" spans="3:19" ht="12.75">
      <c r="C780" s="12" t="s">
        <v>252</v>
      </c>
      <c r="D780" s="9"/>
      <c r="E780" s="9"/>
      <c r="F780" s="9"/>
      <c r="H780" s="33"/>
      <c r="I780" s="33"/>
      <c r="J780" s="33"/>
      <c r="K780" s="33"/>
      <c r="L780" s="33"/>
      <c r="M780" s="33"/>
      <c r="N780" s="33"/>
      <c r="O780" s="33"/>
      <c r="P780" s="33" t="s">
        <v>320</v>
      </c>
      <c r="Q780" s="108">
        <f>Q655</f>
        <v>1676908.24634</v>
      </c>
      <c r="R780" s="8"/>
      <c r="S780" s="8">
        <f>1718273-241.93712</f>
        <v>1718031.06288</v>
      </c>
    </row>
    <row r="781" spans="3:19" ht="12.75">
      <c r="C781" s="12" t="s">
        <v>253</v>
      </c>
      <c r="P781" s="8"/>
      <c r="Q781" s="108"/>
      <c r="R781" s="8"/>
      <c r="S781" s="8"/>
    </row>
    <row r="782" spans="3:19" ht="12.75">
      <c r="C782" s="12" t="s">
        <v>251</v>
      </c>
      <c r="H782" s="33"/>
      <c r="I782" s="33"/>
      <c r="J782" s="33"/>
      <c r="K782" s="33"/>
      <c r="L782" s="33"/>
      <c r="M782" s="33"/>
      <c r="N782" s="33"/>
      <c r="O782" s="33"/>
      <c r="P782" s="33" t="s">
        <v>320</v>
      </c>
      <c r="Q782" s="108">
        <f>1870132-16349.28162</f>
        <v>1853782.71838</v>
      </c>
      <c r="R782" s="8"/>
      <c r="S782" s="8">
        <f>1699278-16217.62391</f>
        <v>1683060.37609</v>
      </c>
    </row>
    <row r="783" spans="3:19" ht="12.75">
      <c r="C783" s="12" t="s">
        <v>254</v>
      </c>
      <c r="L783" s="33"/>
      <c r="M783" s="33"/>
      <c r="N783" s="33"/>
      <c r="O783" s="33"/>
      <c r="P783" s="33" t="s">
        <v>320</v>
      </c>
      <c r="Q783" s="108">
        <v>10203</v>
      </c>
      <c r="R783" s="8"/>
      <c r="S783" s="8">
        <v>27918.4</v>
      </c>
    </row>
    <row r="784" spans="3:19" ht="12.75">
      <c r="C784" s="12" t="s">
        <v>255</v>
      </c>
      <c r="L784" s="33"/>
      <c r="M784" s="33"/>
      <c r="N784" s="33"/>
      <c r="O784" s="33"/>
      <c r="P784" s="33" t="s">
        <v>320</v>
      </c>
      <c r="Q784" s="108">
        <v>312298</v>
      </c>
      <c r="R784" s="8"/>
      <c r="S784" s="8">
        <v>334468</v>
      </c>
    </row>
    <row r="785" spans="3:19" ht="12.75">
      <c r="C785" s="12" t="s">
        <v>248</v>
      </c>
      <c r="L785" s="33"/>
      <c r="M785" s="33"/>
      <c r="N785" s="33"/>
      <c r="O785" s="33"/>
      <c r="P785" s="33" t="s">
        <v>320</v>
      </c>
      <c r="Q785" s="108">
        <v>0</v>
      </c>
      <c r="R785" s="8"/>
      <c r="S785" s="8">
        <v>5</v>
      </c>
    </row>
    <row r="786" spans="3:19" ht="12.75">
      <c r="C786" s="12" t="s">
        <v>63</v>
      </c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 t="s">
        <v>320</v>
      </c>
      <c r="Q786" s="34">
        <f>SUM(Q780:Q785)</f>
        <v>3853191.96472</v>
      </c>
      <c r="S786" s="39">
        <f>SUM(S780:S785)</f>
        <v>3763482.83897</v>
      </c>
    </row>
    <row r="787" spans="16:19" ht="12.75">
      <c r="P787" s="8"/>
      <c r="Q787" s="109"/>
      <c r="R787" s="8"/>
      <c r="S787" s="35"/>
    </row>
    <row r="788" spans="3:19" ht="12.75">
      <c r="C788" s="12"/>
      <c r="H788" s="8"/>
      <c r="J788" s="8"/>
      <c r="L788" s="8"/>
      <c r="M788" s="44">
        <v>2004</v>
      </c>
      <c r="N788" s="8"/>
      <c r="O788" s="10">
        <v>2003</v>
      </c>
      <c r="P788" s="8"/>
      <c r="Q788" s="137">
        <v>2004</v>
      </c>
      <c r="S788" s="10">
        <v>2003</v>
      </c>
    </row>
    <row r="789" spans="2:19" ht="12.75">
      <c r="B789" s="32">
        <v>34</v>
      </c>
      <c r="C789" s="9" t="s">
        <v>256</v>
      </c>
      <c r="M789" s="47" t="s">
        <v>336</v>
      </c>
      <c r="N789" s="3"/>
      <c r="O789" s="3"/>
      <c r="P789" s="8"/>
      <c r="Q789" s="136" t="s">
        <v>364</v>
      </c>
      <c r="R789" s="3"/>
      <c r="S789" s="3"/>
    </row>
    <row r="790" spans="13:19" ht="12.75">
      <c r="M790" s="108"/>
      <c r="P790" s="8"/>
      <c r="Q790" s="136" t="s">
        <v>365</v>
      </c>
      <c r="R790" s="3"/>
      <c r="S790" s="3"/>
    </row>
    <row r="791" spans="3:17" ht="12.75">
      <c r="C791" s="12" t="s">
        <v>550</v>
      </c>
      <c r="M791" s="108"/>
      <c r="P791" s="8"/>
      <c r="Q791" s="108"/>
    </row>
    <row r="792" spans="13:19" ht="12.75">
      <c r="M792" s="136" t="s">
        <v>337</v>
      </c>
      <c r="N792" s="3"/>
      <c r="O792" s="3"/>
      <c r="P792" s="3"/>
      <c r="Q792" s="112"/>
      <c r="R792" s="3"/>
      <c r="S792" s="3"/>
    </row>
    <row r="793" spans="3:17" ht="12.75">
      <c r="C793" s="12" t="s">
        <v>257</v>
      </c>
      <c r="M793" s="108"/>
      <c r="P793" s="8"/>
      <c r="Q793" s="108"/>
    </row>
    <row r="794" spans="3:19" ht="12.75">
      <c r="C794" s="12" t="s">
        <v>258</v>
      </c>
      <c r="H794" s="33"/>
      <c r="I794" s="33"/>
      <c r="J794" s="33"/>
      <c r="K794" s="33"/>
      <c r="L794" s="33" t="s">
        <v>320</v>
      </c>
      <c r="M794" s="108">
        <v>7946</v>
      </c>
      <c r="O794" s="1">
        <v>36924</v>
      </c>
      <c r="P794" s="8"/>
      <c r="Q794" s="108">
        <v>-166</v>
      </c>
      <c r="R794" s="56"/>
      <c r="S794" s="43">
        <v>-1376</v>
      </c>
    </row>
    <row r="795" spans="3:19" ht="12.75">
      <c r="C795" s="12" t="s">
        <v>852</v>
      </c>
      <c r="H795" s="33"/>
      <c r="I795" s="33"/>
      <c r="J795" s="33"/>
      <c r="K795" s="33"/>
      <c r="L795" s="33" t="s">
        <v>320</v>
      </c>
      <c r="M795" s="108">
        <v>11827</v>
      </c>
      <c r="O795" s="1">
        <v>57043</v>
      </c>
      <c r="P795" s="8"/>
      <c r="Q795" s="108">
        <v>312</v>
      </c>
      <c r="R795" s="56"/>
      <c r="S795" s="43">
        <v>2472</v>
      </c>
    </row>
    <row r="796" spans="3:19" ht="12.75">
      <c r="C796" s="12" t="s">
        <v>853</v>
      </c>
      <c r="H796" s="33"/>
      <c r="I796" s="33"/>
      <c r="J796" s="33"/>
      <c r="K796" s="33"/>
      <c r="L796" s="33" t="s">
        <v>320</v>
      </c>
      <c r="M796" s="108">
        <v>0</v>
      </c>
      <c r="O796" s="1">
        <v>0</v>
      </c>
      <c r="P796" s="8"/>
      <c r="Q796" s="108">
        <v>0</v>
      </c>
      <c r="R796" s="56"/>
      <c r="S796" s="43">
        <v>0</v>
      </c>
    </row>
    <row r="797" spans="3:19" ht="12.75">
      <c r="C797" s="12" t="s">
        <v>854</v>
      </c>
      <c r="H797" s="33"/>
      <c r="I797" s="33"/>
      <c r="J797" s="33"/>
      <c r="K797" s="33"/>
      <c r="L797" s="33" t="s">
        <v>320</v>
      </c>
      <c r="M797" s="108">
        <v>0</v>
      </c>
      <c r="O797" s="1">
        <v>0</v>
      </c>
      <c r="P797" s="8"/>
      <c r="Q797" s="108">
        <v>0</v>
      </c>
      <c r="R797" s="56"/>
      <c r="S797" s="43">
        <v>0</v>
      </c>
    </row>
    <row r="798" spans="3:19" ht="12.75">
      <c r="C798" s="12" t="s">
        <v>855</v>
      </c>
      <c r="H798" s="33"/>
      <c r="I798" s="33"/>
      <c r="J798" s="33"/>
      <c r="K798" s="33"/>
      <c r="L798" s="33"/>
      <c r="M798" s="108"/>
      <c r="P798" s="8"/>
      <c r="Q798" s="108"/>
      <c r="R798" s="56"/>
      <c r="S798" s="43"/>
    </row>
    <row r="799" spans="3:19" ht="12.75">
      <c r="C799" s="12" t="s">
        <v>856</v>
      </c>
      <c r="H799" s="33"/>
      <c r="I799" s="33"/>
      <c r="J799" s="33"/>
      <c r="K799" s="33"/>
      <c r="L799" s="33" t="s">
        <v>320</v>
      </c>
      <c r="M799" s="108">
        <v>0</v>
      </c>
      <c r="O799" s="1">
        <v>0</v>
      </c>
      <c r="P799" s="8"/>
      <c r="Q799" s="108">
        <v>0</v>
      </c>
      <c r="R799" s="56"/>
      <c r="S799" s="43">
        <v>0</v>
      </c>
    </row>
    <row r="800" spans="13:17" ht="12" customHeight="1">
      <c r="M800" s="108"/>
      <c r="P800" s="8"/>
      <c r="Q800" s="108"/>
    </row>
    <row r="801" spans="13:19" ht="12.75">
      <c r="M801" s="136" t="s">
        <v>338</v>
      </c>
      <c r="N801" s="3"/>
      <c r="O801" s="3"/>
      <c r="P801" s="3"/>
      <c r="Q801" s="112"/>
      <c r="R801" s="3"/>
      <c r="S801" s="3"/>
    </row>
    <row r="802" spans="3:19" ht="12.75">
      <c r="C802" s="12" t="s">
        <v>855</v>
      </c>
      <c r="D802" s="9"/>
      <c r="E802" s="9"/>
      <c r="F802" s="9"/>
      <c r="M802" s="108"/>
      <c r="P802" s="8"/>
      <c r="Q802" s="108"/>
      <c r="S802" s="43"/>
    </row>
    <row r="803" spans="3:19" ht="12.75">
      <c r="C803" s="12" t="s">
        <v>715</v>
      </c>
      <c r="D803" s="9"/>
      <c r="E803" s="9"/>
      <c r="F803" s="9"/>
      <c r="L803" s="33" t="s">
        <v>320</v>
      </c>
      <c r="M803" s="108">
        <v>40000</v>
      </c>
      <c r="N803" s="114"/>
      <c r="O803" s="114">
        <v>0</v>
      </c>
      <c r="P803" s="115"/>
      <c r="Q803" s="108">
        <v>224</v>
      </c>
      <c r="S803" s="43">
        <v>0</v>
      </c>
    </row>
    <row r="804" spans="3:19" ht="12.75">
      <c r="C804" s="12" t="s">
        <v>716</v>
      </c>
      <c r="D804" s="9"/>
      <c r="E804" s="9"/>
      <c r="F804" s="9"/>
      <c r="L804" s="33" t="s">
        <v>320</v>
      </c>
      <c r="M804" s="108">
        <v>15000</v>
      </c>
      <c r="N804" s="114"/>
      <c r="O804" s="114">
        <v>0</v>
      </c>
      <c r="P804" s="115"/>
      <c r="Q804" s="108">
        <v>-441</v>
      </c>
      <c r="S804" s="43">
        <v>0</v>
      </c>
    </row>
    <row r="805" spans="3:19" ht="12.75">
      <c r="C805" s="12" t="s">
        <v>856</v>
      </c>
      <c r="D805" s="33"/>
      <c r="E805" s="33"/>
      <c r="F805" s="33"/>
      <c r="G805" s="33"/>
      <c r="H805" s="33"/>
      <c r="I805" s="33"/>
      <c r="J805" s="33"/>
      <c r="K805" s="33"/>
      <c r="L805" s="33" t="s">
        <v>320</v>
      </c>
      <c r="M805" s="108">
        <v>0</v>
      </c>
      <c r="N805" s="114"/>
      <c r="O805" s="114">
        <v>0</v>
      </c>
      <c r="P805" s="115"/>
      <c r="Q805" s="108">
        <v>0</v>
      </c>
      <c r="R805" s="56"/>
      <c r="S805" s="43">
        <v>0</v>
      </c>
    </row>
    <row r="806" spans="13:17" ht="12" customHeight="1">
      <c r="M806" s="108"/>
      <c r="N806" s="114"/>
      <c r="O806" s="114"/>
      <c r="P806" s="115"/>
      <c r="Q806" s="108"/>
    </row>
    <row r="807" spans="13:19" ht="12.75">
      <c r="M807" s="136" t="s">
        <v>339</v>
      </c>
      <c r="N807" s="116"/>
      <c r="O807" s="116"/>
      <c r="P807" s="116"/>
      <c r="Q807" s="112"/>
      <c r="R807" s="3"/>
      <c r="S807" s="3"/>
    </row>
    <row r="808" spans="3:17" ht="12.75">
      <c r="C808" s="12" t="s">
        <v>257</v>
      </c>
      <c r="D808" s="9"/>
      <c r="E808" s="9"/>
      <c r="F808" s="9"/>
      <c r="M808" s="108"/>
      <c r="N808" s="114"/>
      <c r="O808" s="114"/>
      <c r="P808" s="115"/>
      <c r="Q808" s="108"/>
    </row>
    <row r="809" spans="3:19" ht="12.75">
      <c r="C809" s="12" t="s">
        <v>856</v>
      </c>
      <c r="D809" s="9"/>
      <c r="E809" s="9"/>
      <c r="F809" s="9"/>
      <c r="H809" s="33"/>
      <c r="I809" s="33"/>
      <c r="J809" s="33"/>
      <c r="K809" s="33"/>
      <c r="L809" s="33" t="s">
        <v>320</v>
      </c>
      <c r="M809" s="108">
        <v>0</v>
      </c>
      <c r="N809" s="114"/>
      <c r="O809" s="114">
        <v>0</v>
      </c>
      <c r="P809" s="114"/>
      <c r="Q809" s="108">
        <v>0</v>
      </c>
      <c r="R809" s="56"/>
      <c r="S809" s="43">
        <v>0</v>
      </c>
    </row>
    <row r="810" spans="3:17" ht="12.75">
      <c r="C810" s="12" t="s">
        <v>855</v>
      </c>
      <c r="D810" s="9"/>
      <c r="E810" s="9"/>
      <c r="F810" s="9"/>
      <c r="M810" s="108"/>
      <c r="N810" s="114"/>
      <c r="O810" s="114"/>
      <c r="P810" s="115"/>
      <c r="Q810" s="108"/>
    </row>
    <row r="811" spans="3:19" ht="12.75">
      <c r="C811" s="12" t="s">
        <v>857</v>
      </c>
      <c r="D811" s="9"/>
      <c r="E811" s="33"/>
      <c r="F811" s="33"/>
      <c r="G811" s="33"/>
      <c r="H811" s="33"/>
      <c r="I811" s="33"/>
      <c r="J811" s="33"/>
      <c r="K811" s="33"/>
      <c r="L811" s="33" t="s">
        <v>320</v>
      </c>
      <c r="M811" s="108">
        <v>0</v>
      </c>
      <c r="N811" s="114"/>
      <c r="O811" s="114">
        <v>0</v>
      </c>
      <c r="P811" s="115"/>
      <c r="Q811" s="108">
        <v>0</v>
      </c>
      <c r="S811" s="1">
        <v>0</v>
      </c>
    </row>
    <row r="812" spans="13:17" ht="12" customHeight="1">
      <c r="M812" s="108"/>
      <c r="N812" s="114"/>
      <c r="O812" s="114"/>
      <c r="P812" s="115"/>
      <c r="Q812" s="108"/>
    </row>
    <row r="813" spans="13:19" ht="12.75">
      <c r="M813" s="136" t="s">
        <v>340</v>
      </c>
      <c r="N813" s="3"/>
      <c r="O813" s="3"/>
      <c r="P813" s="3"/>
      <c r="Q813" s="112"/>
      <c r="R813" s="3"/>
      <c r="S813" s="3"/>
    </row>
    <row r="814" spans="3:17" ht="12.75">
      <c r="C814" s="12" t="s">
        <v>257</v>
      </c>
      <c r="M814" s="108"/>
      <c r="P814" s="8"/>
      <c r="Q814" s="108"/>
    </row>
    <row r="815" spans="3:19" ht="12.75">
      <c r="C815" s="12" t="s">
        <v>858</v>
      </c>
      <c r="H815" s="33"/>
      <c r="I815" s="33"/>
      <c r="J815" s="33"/>
      <c r="K815" s="33"/>
      <c r="L815" s="33" t="s">
        <v>320</v>
      </c>
      <c r="M815" s="108">
        <v>0</v>
      </c>
      <c r="O815" s="1">
        <v>0</v>
      </c>
      <c r="P815" s="8"/>
      <c r="Q815" s="108">
        <v>0</v>
      </c>
      <c r="S815" s="43">
        <v>0</v>
      </c>
    </row>
    <row r="816" spans="3:19" ht="12.75">
      <c r="C816" s="12" t="s">
        <v>855</v>
      </c>
      <c r="D816" s="9"/>
      <c r="E816" s="9"/>
      <c r="F816" s="9"/>
      <c r="M816" s="108"/>
      <c r="P816" s="8"/>
      <c r="Q816" s="108"/>
      <c r="S816" s="43"/>
    </row>
    <row r="817" spans="3:19" ht="12.75">
      <c r="C817" s="12" t="s">
        <v>856</v>
      </c>
      <c r="D817" s="9"/>
      <c r="E817" s="33"/>
      <c r="F817" s="33"/>
      <c r="G817" s="33"/>
      <c r="H817" s="33"/>
      <c r="I817" s="33"/>
      <c r="J817" s="33"/>
      <c r="K817" s="33"/>
      <c r="L817" s="33" t="s">
        <v>320</v>
      </c>
      <c r="M817" s="108">
        <v>0</v>
      </c>
      <c r="O817" s="1">
        <v>0</v>
      </c>
      <c r="P817" s="8"/>
      <c r="Q817" s="108">
        <v>0</v>
      </c>
      <c r="R817" s="56"/>
      <c r="S817" s="43">
        <v>0</v>
      </c>
    </row>
    <row r="818" spans="3:17" ht="12" customHeight="1">
      <c r="C818" s="12"/>
      <c r="L818" s="33" t="s">
        <v>320</v>
      </c>
      <c r="M818" s="108"/>
      <c r="P818" s="8"/>
      <c r="Q818" s="108"/>
    </row>
    <row r="819" spans="3:17" ht="12.75">
      <c r="C819" s="12" t="s">
        <v>257</v>
      </c>
      <c r="M819" s="108"/>
      <c r="P819" s="8"/>
      <c r="Q819" s="108"/>
    </row>
    <row r="820" spans="3:19" ht="12.75">
      <c r="C820" s="12" t="s">
        <v>859</v>
      </c>
      <c r="D820" s="9"/>
      <c r="E820" s="9"/>
      <c r="F820" s="9"/>
      <c r="H820" s="33"/>
      <c r="I820" s="33"/>
      <c r="J820" s="33"/>
      <c r="K820" s="33"/>
      <c r="L820" s="33" t="s">
        <v>320</v>
      </c>
      <c r="M820" s="108">
        <v>7946</v>
      </c>
      <c r="N820" s="114"/>
      <c r="O820" s="114">
        <v>36824</v>
      </c>
      <c r="P820" s="115"/>
      <c r="Q820" s="108">
        <v>-166</v>
      </c>
      <c r="S820" s="1">
        <v>-1376</v>
      </c>
    </row>
    <row r="821" spans="3:19" ht="12.75">
      <c r="C821" s="12" t="s">
        <v>162</v>
      </c>
      <c r="H821" s="33"/>
      <c r="I821" s="33"/>
      <c r="J821" s="33"/>
      <c r="K821" s="33"/>
      <c r="L821" s="33" t="s">
        <v>320</v>
      </c>
      <c r="M821" s="108">
        <v>11827</v>
      </c>
      <c r="N821" s="114"/>
      <c r="O821" s="114">
        <v>57043</v>
      </c>
      <c r="P821" s="115"/>
      <c r="Q821" s="108">
        <v>312</v>
      </c>
      <c r="S821" s="1">
        <v>2472</v>
      </c>
    </row>
    <row r="822" spans="3:19" ht="12.75">
      <c r="C822" s="12" t="s">
        <v>858</v>
      </c>
      <c r="H822" s="33"/>
      <c r="I822" s="33"/>
      <c r="J822" s="33"/>
      <c r="K822" s="33"/>
      <c r="L822" s="33" t="s">
        <v>320</v>
      </c>
      <c r="M822" s="108">
        <v>0</v>
      </c>
      <c r="N822" s="114"/>
      <c r="O822" s="114">
        <v>0</v>
      </c>
      <c r="P822" s="115"/>
      <c r="Q822" s="108">
        <v>0</v>
      </c>
      <c r="S822" s="1">
        <v>0</v>
      </c>
    </row>
    <row r="823" spans="3:19" ht="12.75">
      <c r="C823" s="12" t="s">
        <v>853</v>
      </c>
      <c r="H823" s="33"/>
      <c r="I823" s="33"/>
      <c r="J823" s="33"/>
      <c r="K823" s="33"/>
      <c r="L823" s="33" t="s">
        <v>320</v>
      </c>
      <c r="M823" s="108">
        <v>0</v>
      </c>
      <c r="N823" s="114"/>
      <c r="O823" s="114">
        <v>0</v>
      </c>
      <c r="P823" s="115"/>
      <c r="Q823" s="108">
        <v>0</v>
      </c>
      <c r="S823" s="1">
        <v>0</v>
      </c>
    </row>
    <row r="824" spans="3:19" ht="12.75">
      <c r="C824" s="12" t="s">
        <v>854</v>
      </c>
      <c r="H824" s="33"/>
      <c r="I824" s="33"/>
      <c r="J824" s="33"/>
      <c r="K824" s="33"/>
      <c r="L824" s="33" t="s">
        <v>320</v>
      </c>
      <c r="M824" s="108">
        <v>0</v>
      </c>
      <c r="N824" s="114"/>
      <c r="O824" s="114">
        <v>0</v>
      </c>
      <c r="P824" s="115"/>
      <c r="Q824" s="108">
        <v>0</v>
      </c>
      <c r="S824" s="1">
        <v>0</v>
      </c>
    </row>
    <row r="825" spans="3:17" ht="12.75">
      <c r="C825" s="12" t="s">
        <v>855</v>
      </c>
      <c r="D825" s="9"/>
      <c r="E825" s="9"/>
      <c r="F825" s="9"/>
      <c r="L825" s="36"/>
      <c r="M825" s="108"/>
      <c r="N825" s="114"/>
      <c r="O825" s="114"/>
      <c r="P825" s="115"/>
      <c r="Q825" s="108"/>
    </row>
    <row r="826" spans="3:19" ht="12.75">
      <c r="C826" s="12" t="s">
        <v>859</v>
      </c>
      <c r="D826" s="9"/>
      <c r="E826" s="9"/>
      <c r="F826" s="9"/>
      <c r="L826" s="58" t="s">
        <v>320</v>
      </c>
      <c r="M826" s="108">
        <v>40000</v>
      </c>
      <c r="N826" s="114"/>
      <c r="O826" s="114">
        <v>0</v>
      </c>
      <c r="P826" s="115"/>
      <c r="Q826" s="108">
        <v>224</v>
      </c>
      <c r="S826" s="1">
        <v>0</v>
      </c>
    </row>
    <row r="827" spans="3:19" ht="12.75">
      <c r="C827" s="12" t="s">
        <v>716</v>
      </c>
      <c r="D827" s="9"/>
      <c r="E827" s="9"/>
      <c r="F827" s="9"/>
      <c r="L827" s="33" t="s">
        <v>320</v>
      </c>
      <c r="M827" s="108">
        <v>15000</v>
      </c>
      <c r="N827" s="114"/>
      <c r="O827" s="114">
        <v>0</v>
      </c>
      <c r="P827" s="115"/>
      <c r="Q827" s="108">
        <v>-441</v>
      </c>
      <c r="S827" s="43">
        <v>0</v>
      </c>
    </row>
    <row r="828" spans="3:19" ht="12.75">
      <c r="C828" s="12" t="s">
        <v>163</v>
      </c>
      <c r="D828" s="9"/>
      <c r="E828" s="33"/>
      <c r="F828" s="33"/>
      <c r="G828" s="33"/>
      <c r="H828" s="33"/>
      <c r="I828" s="33"/>
      <c r="J828" s="33"/>
      <c r="K828" s="33"/>
      <c r="L828" s="58" t="s">
        <v>320</v>
      </c>
      <c r="M828" s="108">
        <v>0</v>
      </c>
      <c r="N828" s="114"/>
      <c r="O828" s="114">
        <v>0</v>
      </c>
      <c r="P828" s="115"/>
      <c r="Q828" s="108">
        <v>0</v>
      </c>
      <c r="S828" s="1">
        <v>0</v>
      </c>
    </row>
    <row r="829" spans="3:19" ht="12.75">
      <c r="C829" s="12" t="s">
        <v>164</v>
      </c>
      <c r="I829" s="32"/>
      <c r="J829" s="58"/>
      <c r="K829" s="33"/>
      <c r="L829" s="58" t="s">
        <v>320</v>
      </c>
      <c r="M829" s="108"/>
      <c r="P829" s="8"/>
      <c r="Q829" s="108">
        <v>-71</v>
      </c>
      <c r="S829" s="1">
        <v>1096</v>
      </c>
    </row>
    <row r="830" spans="1:19" ht="12" customHeight="1">
      <c r="A830" s="7" t="s">
        <v>0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8:17" ht="12" customHeight="1">
      <c r="H831" s="8"/>
      <c r="J831" s="8"/>
      <c r="L831" s="8"/>
      <c r="N831" s="8"/>
      <c r="P831" s="8"/>
      <c r="Q831" s="8"/>
    </row>
    <row r="832" spans="3:19" ht="12" customHeight="1">
      <c r="C832" s="12" t="s">
        <v>114</v>
      </c>
      <c r="H832" s="8"/>
      <c r="J832" s="8"/>
      <c r="L832" s="8"/>
      <c r="M832" s="44">
        <f>Q832</f>
        <v>2004</v>
      </c>
      <c r="N832" s="8"/>
      <c r="O832" s="10">
        <f>S832</f>
        <v>2003</v>
      </c>
      <c r="P832" s="8"/>
      <c r="Q832" s="44">
        <f>Q765</f>
        <v>2004</v>
      </c>
      <c r="S832" s="10">
        <f>S765</f>
        <v>2003</v>
      </c>
    </row>
    <row r="833" spans="2:17" ht="12.75">
      <c r="B833" s="32">
        <v>35</v>
      </c>
      <c r="C833" s="9" t="s">
        <v>256</v>
      </c>
      <c r="I833" s="2"/>
      <c r="M833" s="28"/>
      <c r="P833" s="8"/>
      <c r="Q833" s="28"/>
    </row>
    <row r="834" spans="3:19" ht="15.75">
      <c r="C834" s="38"/>
      <c r="M834" s="47" t="s">
        <v>325</v>
      </c>
      <c r="N834" s="37"/>
      <c r="O834" s="37"/>
      <c r="P834" s="37"/>
      <c r="Q834" s="47"/>
      <c r="R834" s="37"/>
      <c r="S834" s="37"/>
    </row>
    <row r="835" spans="3:19" ht="12.75">
      <c r="C835" s="12" t="s">
        <v>550</v>
      </c>
      <c r="M835" s="47" t="s">
        <v>326</v>
      </c>
      <c r="N835" s="3"/>
      <c r="O835" s="3"/>
      <c r="P835" s="8"/>
      <c r="Q835" s="47" t="s">
        <v>343</v>
      </c>
      <c r="R835" s="37"/>
      <c r="S835" s="37"/>
    </row>
    <row r="836" spans="13:17" ht="9" customHeight="1">
      <c r="M836" s="28"/>
      <c r="P836" s="8"/>
      <c r="Q836" s="28"/>
    </row>
    <row r="837" spans="3:17" ht="12.75">
      <c r="C837" s="12" t="s">
        <v>257</v>
      </c>
      <c r="M837" s="108"/>
      <c r="P837" s="8"/>
      <c r="Q837" s="28"/>
    </row>
    <row r="838" spans="3:19" ht="12.75">
      <c r="C838" s="12" t="s">
        <v>165</v>
      </c>
      <c r="D838" s="9"/>
      <c r="E838" s="9"/>
      <c r="F838" s="9"/>
      <c r="H838" s="33"/>
      <c r="I838" s="33"/>
      <c r="J838" s="33"/>
      <c r="K838" s="33"/>
      <c r="L838" s="33" t="s">
        <v>320</v>
      </c>
      <c r="M838" s="108">
        <v>0</v>
      </c>
      <c r="N838" s="114"/>
      <c r="O838" s="114">
        <v>9</v>
      </c>
      <c r="P838" s="115"/>
      <c r="Q838" s="108">
        <v>166</v>
      </c>
      <c r="S838" s="1">
        <v>1385</v>
      </c>
    </row>
    <row r="839" spans="3:19" ht="12.75">
      <c r="C839" s="12" t="s">
        <v>166</v>
      </c>
      <c r="H839" s="33"/>
      <c r="I839" s="33"/>
      <c r="J839" s="33"/>
      <c r="K839" s="33"/>
      <c r="L839" s="33" t="s">
        <v>320</v>
      </c>
      <c r="M839" s="108">
        <v>312</v>
      </c>
      <c r="N839" s="114"/>
      <c r="O839" s="114">
        <v>2479</v>
      </c>
      <c r="P839" s="115"/>
      <c r="Q839" s="108">
        <v>0</v>
      </c>
      <c r="S839" s="1">
        <v>7</v>
      </c>
    </row>
    <row r="840" spans="3:19" ht="12.75">
      <c r="C840" s="12" t="s">
        <v>163</v>
      </c>
      <c r="H840" s="33"/>
      <c r="I840" s="33"/>
      <c r="J840" s="33"/>
      <c r="K840" s="33"/>
      <c r="L840" s="33" t="s">
        <v>320</v>
      </c>
      <c r="M840" s="108">
        <v>0</v>
      </c>
      <c r="N840" s="114"/>
      <c r="O840" s="114">
        <v>0</v>
      </c>
      <c r="P840" s="115"/>
      <c r="Q840" s="108">
        <v>0</v>
      </c>
      <c r="S840" s="1">
        <v>0</v>
      </c>
    </row>
    <row r="841" spans="3:17" ht="12.75">
      <c r="C841" s="12" t="s">
        <v>855</v>
      </c>
      <c r="M841" s="108"/>
      <c r="N841" s="114"/>
      <c r="O841" s="114"/>
      <c r="P841" s="115"/>
      <c r="Q841" s="108"/>
    </row>
    <row r="842" spans="3:19" ht="12.75">
      <c r="C842" s="1" t="s">
        <v>717</v>
      </c>
      <c r="L842" s="33" t="s">
        <v>320</v>
      </c>
      <c r="M842" s="108">
        <v>244</v>
      </c>
      <c r="N842" s="114"/>
      <c r="O842" s="114">
        <v>0</v>
      </c>
      <c r="P842" s="115"/>
      <c r="Q842" s="108">
        <v>21</v>
      </c>
      <c r="S842" s="1">
        <v>0</v>
      </c>
    </row>
    <row r="843" spans="3:19" ht="12.75">
      <c r="C843" s="1" t="s">
        <v>718</v>
      </c>
      <c r="L843" s="33" t="s">
        <v>320</v>
      </c>
      <c r="M843" s="108">
        <v>0</v>
      </c>
      <c r="N843" s="114"/>
      <c r="O843" s="114">
        <v>0</v>
      </c>
      <c r="P843" s="115"/>
      <c r="Q843" s="108">
        <v>441</v>
      </c>
      <c r="S843" s="1">
        <v>0</v>
      </c>
    </row>
    <row r="844" spans="3:19" ht="12.75">
      <c r="C844" s="12" t="s">
        <v>163</v>
      </c>
      <c r="D844" s="33"/>
      <c r="E844" s="33"/>
      <c r="F844" s="33"/>
      <c r="G844" s="33"/>
      <c r="H844" s="33"/>
      <c r="I844" s="33"/>
      <c r="J844" s="33"/>
      <c r="K844" s="33"/>
      <c r="L844" s="33" t="s">
        <v>320</v>
      </c>
      <c r="M844" s="108">
        <v>0</v>
      </c>
      <c r="N844" s="114"/>
      <c r="O844" s="114">
        <v>0</v>
      </c>
      <c r="P844" s="115"/>
      <c r="Q844" s="108">
        <v>0</v>
      </c>
      <c r="S844" s="1">
        <v>0</v>
      </c>
    </row>
    <row r="845" spans="3:19" ht="12.75">
      <c r="C845" s="12" t="s">
        <v>127</v>
      </c>
      <c r="D845" s="33"/>
      <c r="E845" s="33"/>
      <c r="F845" s="33"/>
      <c r="G845" s="33"/>
      <c r="H845" s="33"/>
      <c r="I845" s="33"/>
      <c r="J845" s="33"/>
      <c r="K845" s="33"/>
      <c r="L845" s="33" t="s">
        <v>320</v>
      </c>
      <c r="M845" s="108">
        <v>0</v>
      </c>
      <c r="N845" s="114"/>
      <c r="O845" s="114">
        <v>0</v>
      </c>
      <c r="P845" s="115"/>
      <c r="Q845" s="108">
        <v>0</v>
      </c>
      <c r="S845" s="1">
        <v>0</v>
      </c>
    </row>
    <row r="846" spans="13:17" ht="8.25" customHeight="1">
      <c r="M846" s="108"/>
      <c r="P846" s="8"/>
      <c r="Q846" s="108"/>
    </row>
    <row r="847" spans="13:19" ht="12.75">
      <c r="M847" s="136" t="s">
        <v>341</v>
      </c>
      <c r="N847" s="37"/>
      <c r="O847" s="37"/>
      <c r="P847" s="37"/>
      <c r="Q847" s="136"/>
      <c r="R847" s="37"/>
      <c r="S847" s="37"/>
    </row>
    <row r="848" spans="13:19" ht="12.75">
      <c r="M848" s="136" t="s">
        <v>342</v>
      </c>
      <c r="N848" s="37"/>
      <c r="O848" s="37"/>
      <c r="P848" s="37"/>
      <c r="Q848" s="136"/>
      <c r="R848" s="37"/>
      <c r="S848" s="37"/>
    </row>
    <row r="849" spans="13:19" ht="12.75">
      <c r="M849" s="136" t="s">
        <v>326</v>
      </c>
      <c r="N849" s="3"/>
      <c r="O849" s="3"/>
      <c r="P849" s="8"/>
      <c r="Q849" s="136" t="s">
        <v>343</v>
      </c>
      <c r="R849" s="3"/>
      <c r="S849" s="3"/>
    </row>
    <row r="850" spans="3:17" ht="12.75">
      <c r="C850" s="12" t="s">
        <v>257</v>
      </c>
      <c r="M850" s="108"/>
      <c r="P850" s="8"/>
      <c r="Q850" s="108"/>
    </row>
    <row r="851" spans="3:19" ht="12.75">
      <c r="C851" s="12" t="s">
        <v>258</v>
      </c>
      <c r="H851" s="33"/>
      <c r="I851" s="33"/>
      <c r="J851" s="33"/>
      <c r="K851" s="33"/>
      <c r="L851" s="33" t="s">
        <v>320</v>
      </c>
      <c r="M851" s="108">
        <v>0</v>
      </c>
      <c r="N851" s="114"/>
      <c r="O851" s="114">
        <v>9</v>
      </c>
      <c r="P851" s="115"/>
      <c r="Q851" s="108">
        <v>166</v>
      </c>
      <c r="S851" s="1">
        <v>1385</v>
      </c>
    </row>
    <row r="852" spans="3:19" ht="12.75">
      <c r="C852" s="12" t="s">
        <v>167</v>
      </c>
      <c r="H852" s="33"/>
      <c r="I852" s="33"/>
      <c r="J852" s="12"/>
      <c r="K852" s="33"/>
      <c r="L852" s="33" t="s">
        <v>320</v>
      </c>
      <c r="M852" s="108">
        <v>312</v>
      </c>
      <c r="N852" s="114"/>
      <c r="O852" s="114">
        <v>2479</v>
      </c>
      <c r="P852" s="115"/>
      <c r="Q852" s="108">
        <v>0</v>
      </c>
      <c r="S852" s="1">
        <v>7</v>
      </c>
    </row>
    <row r="853" spans="3:19" ht="12.75">
      <c r="C853" s="14" t="s">
        <v>168</v>
      </c>
      <c r="H853" s="33"/>
      <c r="I853" s="33"/>
      <c r="J853" s="12"/>
      <c r="K853" s="33"/>
      <c r="L853" s="33" t="s">
        <v>320</v>
      </c>
      <c r="M853" s="108">
        <v>0</v>
      </c>
      <c r="N853" s="114"/>
      <c r="O853" s="114">
        <v>0</v>
      </c>
      <c r="P853" s="115"/>
      <c r="Q853" s="108">
        <v>0</v>
      </c>
      <c r="S853" s="1">
        <v>0</v>
      </c>
    </row>
    <row r="854" spans="3:17" ht="12.75">
      <c r="C854" s="14" t="s">
        <v>855</v>
      </c>
      <c r="M854" s="108"/>
      <c r="N854" s="114"/>
      <c r="O854" s="114"/>
      <c r="P854" s="115"/>
      <c r="Q854" s="108"/>
    </row>
    <row r="855" spans="3:19" ht="12.75">
      <c r="C855" s="1" t="s">
        <v>717</v>
      </c>
      <c r="L855" s="33" t="s">
        <v>320</v>
      </c>
      <c r="M855" s="108">
        <v>244</v>
      </c>
      <c r="N855" s="114"/>
      <c r="O855" s="114">
        <v>0</v>
      </c>
      <c r="P855" s="115"/>
      <c r="Q855" s="108">
        <v>21</v>
      </c>
      <c r="S855" s="1">
        <v>0</v>
      </c>
    </row>
    <row r="856" spans="3:19" ht="12.75">
      <c r="C856" s="1" t="s">
        <v>718</v>
      </c>
      <c r="L856" s="33" t="s">
        <v>320</v>
      </c>
      <c r="M856" s="108">
        <v>0</v>
      </c>
      <c r="N856" s="114"/>
      <c r="O856" s="114">
        <v>0</v>
      </c>
      <c r="P856" s="115"/>
      <c r="Q856" s="108">
        <v>441</v>
      </c>
      <c r="S856" s="1">
        <v>0</v>
      </c>
    </row>
    <row r="857" spans="3:19" ht="12.75">
      <c r="C857" s="14" t="s">
        <v>169</v>
      </c>
      <c r="D857" s="33"/>
      <c r="E857" s="33"/>
      <c r="F857" s="33"/>
      <c r="G857" s="33"/>
      <c r="H857" s="33"/>
      <c r="I857" s="33"/>
      <c r="J857" s="33"/>
      <c r="K857" s="33"/>
      <c r="L857" s="33" t="s">
        <v>320</v>
      </c>
      <c r="M857" s="108">
        <v>0</v>
      </c>
      <c r="N857" s="114"/>
      <c r="O857" s="114">
        <v>0</v>
      </c>
      <c r="P857" s="115"/>
      <c r="Q857" s="108">
        <v>0</v>
      </c>
      <c r="S857" s="1">
        <v>0</v>
      </c>
    </row>
    <row r="858" spans="3:19" ht="12.75">
      <c r="C858" s="12" t="s">
        <v>127</v>
      </c>
      <c r="D858" s="33"/>
      <c r="E858" s="33"/>
      <c r="F858" s="33"/>
      <c r="G858" s="33"/>
      <c r="H858" s="33"/>
      <c r="I858" s="33"/>
      <c r="J858" s="33"/>
      <c r="K858" s="33"/>
      <c r="L858" s="33" t="s">
        <v>320</v>
      </c>
      <c r="M858" s="108">
        <v>0</v>
      </c>
      <c r="N858" s="114"/>
      <c r="O858" s="114">
        <v>0</v>
      </c>
      <c r="P858" s="115"/>
      <c r="Q858" s="108">
        <v>0</v>
      </c>
      <c r="S858" s="1">
        <v>0</v>
      </c>
    </row>
    <row r="859" spans="13:19" ht="8.25" customHeight="1">
      <c r="M859" s="109"/>
      <c r="N859" s="114"/>
      <c r="O859" s="117"/>
      <c r="P859" s="115"/>
      <c r="Q859" s="109"/>
      <c r="S859" s="35"/>
    </row>
    <row r="860" spans="3:19" ht="12.75">
      <c r="C860" s="12" t="s">
        <v>590</v>
      </c>
      <c r="D860" s="33"/>
      <c r="E860" s="33"/>
      <c r="F860" s="33"/>
      <c r="G860" s="33"/>
      <c r="H860" s="33"/>
      <c r="I860" s="33"/>
      <c r="J860" s="33"/>
      <c r="K860" s="33"/>
      <c r="L860" s="33" t="s">
        <v>320</v>
      </c>
      <c r="M860" s="108">
        <v>556</v>
      </c>
      <c r="N860" s="115"/>
      <c r="O860" s="115">
        <f>SUM(O851:O859)</f>
        <v>2488</v>
      </c>
      <c r="P860" s="115"/>
      <c r="Q860" s="108">
        <v>627</v>
      </c>
      <c r="S860" s="115">
        <f>SUM(S851:S859)</f>
        <v>1392</v>
      </c>
    </row>
    <row r="861" spans="13:19" ht="8.25" customHeight="1">
      <c r="M861" s="118"/>
      <c r="N861" s="115"/>
      <c r="O861" s="117"/>
      <c r="P861" s="115"/>
      <c r="Q861" s="118"/>
      <c r="S861" s="35"/>
    </row>
    <row r="862" spans="3:17" ht="12.75">
      <c r="C862" s="12" t="s">
        <v>170</v>
      </c>
      <c r="H862" s="33"/>
      <c r="I862" s="33"/>
      <c r="J862" s="33"/>
      <c r="K862" s="33"/>
      <c r="L862" s="33" t="s">
        <v>320</v>
      </c>
      <c r="M862" s="125">
        <v>-71</v>
      </c>
      <c r="N862" s="115"/>
      <c r="O862" s="126">
        <v>1096</v>
      </c>
      <c r="P862" s="115"/>
      <c r="Q862" s="108"/>
    </row>
    <row r="863" spans="2:17" ht="10.5" customHeight="1" hidden="1">
      <c r="B863" s="32">
        <v>39</v>
      </c>
      <c r="C863" s="9" t="s">
        <v>171</v>
      </c>
      <c r="P863" s="8"/>
      <c r="Q863" s="28"/>
    </row>
    <row r="864" spans="16:17" ht="10.5" customHeight="1" hidden="1">
      <c r="P864" s="8"/>
      <c r="Q864" s="28"/>
    </row>
    <row r="865" spans="5:19" ht="10.5" customHeight="1" hidden="1">
      <c r="E865" s="59">
        <v>2000</v>
      </c>
      <c r="G865" s="31">
        <v>1999</v>
      </c>
      <c r="I865" s="59">
        <v>2000</v>
      </c>
      <c r="K865" s="31">
        <v>1999</v>
      </c>
      <c r="M865" s="59">
        <v>2000</v>
      </c>
      <c r="O865" s="31">
        <v>1999</v>
      </c>
      <c r="P865" s="8"/>
      <c r="Q865" s="28"/>
      <c r="S865" s="31">
        <v>1999</v>
      </c>
    </row>
    <row r="866" spans="3:17" ht="10.5" customHeight="1" hidden="1">
      <c r="C866" s="9"/>
      <c r="E866" s="13"/>
      <c r="I866" s="60" t="s">
        <v>325</v>
      </c>
      <c r="J866" s="37"/>
      <c r="K866" s="37"/>
      <c r="L866" s="37"/>
      <c r="M866" s="60"/>
      <c r="N866" s="3"/>
      <c r="O866" s="3"/>
      <c r="P866" s="8"/>
      <c r="Q866" s="28"/>
    </row>
    <row r="867" spans="5:19" ht="10.5" customHeight="1" hidden="1">
      <c r="E867" s="60" t="s">
        <v>313</v>
      </c>
      <c r="F867" s="37"/>
      <c r="G867" s="37"/>
      <c r="I867" s="60" t="s">
        <v>326</v>
      </c>
      <c r="J867" s="37"/>
      <c r="K867" s="37"/>
      <c r="M867" s="60" t="s">
        <v>343</v>
      </c>
      <c r="N867" s="37"/>
      <c r="O867" s="37"/>
      <c r="P867" s="37" t="s">
        <v>354</v>
      </c>
      <c r="Q867" s="28"/>
      <c r="R867" s="37"/>
      <c r="S867" s="37"/>
    </row>
    <row r="868" spans="5:19" ht="9.75" customHeight="1" hidden="1">
      <c r="E868" s="13"/>
      <c r="I868" s="13"/>
      <c r="M868" s="13"/>
      <c r="P868" s="37" t="s">
        <v>355</v>
      </c>
      <c r="Q868" s="28"/>
      <c r="R868" s="3"/>
      <c r="S868" s="3"/>
    </row>
    <row r="869" spans="3:17" ht="10.5" customHeight="1" hidden="1">
      <c r="C869" s="12" t="s">
        <v>172</v>
      </c>
      <c r="E869" s="13"/>
      <c r="I869" s="13"/>
      <c r="M869" s="13"/>
      <c r="P869" s="8"/>
      <c r="Q869" s="28"/>
    </row>
    <row r="870" spans="3:19" ht="10.5" customHeight="1" hidden="1">
      <c r="C870" s="12" t="s">
        <v>173</v>
      </c>
      <c r="D870" s="33"/>
      <c r="E870" s="13">
        <v>0</v>
      </c>
      <c r="G870" s="1">
        <v>0</v>
      </c>
      <c r="I870" s="13">
        <v>0</v>
      </c>
      <c r="K870" s="1">
        <v>0</v>
      </c>
      <c r="M870" s="13">
        <v>0</v>
      </c>
      <c r="O870" s="1">
        <v>0</v>
      </c>
      <c r="P870" s="8"/>
      <c r="Q870" s="28"/>
      <c r="S870" s="1">
        <v>0</v>
      </c>
    </row>
    <row r="871" spans="3:17" ht="10.5" customHeight="1" hidden="1">
      <c r="C871" s="12" t="s">
        <v>174</v>
      </c>
      <c r="E871" s="13"/>
      <c r="I871" s="13"/>
      <c r="M871" s="13"/>
      <c r="P871" s="8"/>
      <c r="Q871" s="28"/>
    </row>
    <row r="872" spans="3:19" ht="10.5" customHeight="1" hidden="1">
      <c r="C872" s="12" t="s">
        <v>175</v>
      </c>
      <c r="D872" s="33"/>
      <c r="E872" s="13">
        <v>0</v>
      </c>
      <c r="G872" s="1">
        <v>0</v>
      </c>
      <c r="I872" s="13">
        <v>0</v>
      </c>
      <c r="K872" s="1">
        <v>0</v>
      </c>
      <c r="M872" s="13">
        <v>0</v>
      </c>
      <c r="O872" s="1">
        <v>0</v>
      </c>
      <c r="P872" s="8"/>
      <c r="Q872" s="28"/>
      <c r="S872" s="1">
        <v>0</v>
      </c>
    </row>
    <row r="873" spans="3:19" ht="10.5" customHeight="1" hidden="1">
      <c r="C873" s="39" t="s">
        <v>176</v>
      </c>
      <c r="D873" s="35"/>
      <c r="E873" s="45">
        <v>0</v>
      </c>
      <c r="F873" s="35"/>
      <c r="G873" s="35">
        <v>0</v>
      </c>
      <c r="H873" s="35"/>
      <c r="I873" s="45">
        <v>0</v>
      </c>
      <c r="J873" s="35"/>
      <c r="K873" s="35">
        <v>0</v>
      </c>
      <c r="L873" s="35"/>
      <c r="M873" s="45">
        <v>0</v>
      </c>
      <c r="N873" s="35"/>
      <c r="O873" s="35">
        <v>0</v>
      </c>
      <c r="P873" s="35"/>
      <c r="Q873" s="34"/>
      <c r="R873" s="35"/>
      <c r="S873" s="35">
        <v>0</v>
      </c>
    </row>
    <row r="874" spans="3:19" ht="9.75" customHeight="1" hidden="1">
      <c r="C874" s="35"/>
      <c r="D874" s="35"/>
      <c r="E874" s="45"/>
      <c r="F874" s="35"/>
      <c r="G874" s="35"/>
      <c r="H874" s="35"/>
      <c r="I874" s="45"/>
      <c r="J874" s="35"/>
      <c r="K874" s="35"/>
      <c r="L874" s="35"/>
      <c r="M874" s="35"/>
      <c r="N874" s="35"/>
      <c r="O874" s="35"/>
      <c r="P874" s="35"/>
      <c r="Q874" s="34"/>
      <c r="R874" s="35"/>
      <c r="S874" s="35"/>
    </row>
    <row r="875" spans="17:19" ht="9.75" customHeight="1">
      <c r="Q875" s="28"/>
      <c r="S875" s="10"/>
    </row>
    <row r="876" spans="2:17" ht="12.75">
      <c r="B876" s="32">
        <v>36</v>
      </c>
      <c r="C876" s="9" t="s">
        <v>177</v>
      </c>
      <c r="Q876" s="28"/>
    </row>
    <row r="877" spans="3:19" ht="12.75">
      <c r="C877" s="9" t="s">
        <v>178</v>
      </c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Q877" s="108">
        <v>23</v>
      </c>
      <c r="S877" s="1">
        <v>23</v>
      </c>
    </row>
    <row r="878" ht="9.75" customHeight="1">
      <c r="Q878" s="28"/>
    </row>
    <row r="879" spans="2:3" ht="12.75">
      <c r="B879" s="32">
        <v>37</v>
      </c>
      <c r="C879" s="9" t="s">
        <v>179</v>
      </c>
    </row>
    <row r="880" ht="12.75">
      <c r="C880" s="12" t="s">
        <v>180</v>
      </c>
    </row>
    <row r="881" ht="12.75">
      <c r="C881" s="12" t="s">
        <v>299</v>
      </c>
    </row>
    <row r="882" ht="12.75">
      <c r="C882" s="12" t="s">
        <v>300</v>
      </c>
    </row>
    <row r="883" ht="12.75">
      <c r="C883" s="12" t="s">
        <v>301</v>
      </c>
    </row>
    <row r="884" ht="9.75" customHeight="1"/>
    <row r="885" spans="2:3" ht="12.75">
      <c r="B885" s="32">
        <v>38</v>
      </c>
      <c r="C885" s="9" t="s">
        <v>302</v>
      </c>
    </row>
    <row r="886" spans="3:19" ht="12.75">
      <c r="C886" s="12" t="s">
        <v>303</v>
      </c>
      <c r="O886" s="36" t="s">
        <v>347</v>
      </c>
      <c r="P886" s="36"/>
      <c r="Q886" s="36" t="s">
        <v>366</v>
      </c>
      <c r="R886" s="36"/>
      <c r="S886" s="36" t="s">
        <v>371</v>
      </c>
    </row>
    <row r="887" spans="3:19" ht="12.75">
      <c r="C887" s="12" t="s">
        <v>304</v>
      </c>
      <c r="O887" s="36" t="s">
        <v>348</v>
      </c>
      <c r="P887" s="36"/>
      <c r="Q887" s="36" t="s">
        <v>367</v>
      </c>
      <c r="R887" s="36"/>
      <c r="S887" s="36" t="s">
        <v>367</v>
      </c>
    </row>
    <row r="888" spans="15:19" ht="12.75">
      <c r="O888" s="36" t="s">
        <v>349</v>
      </c>
      <c r="P888" s="36"/>
      <c r="Q888" s="36" t="s">
        <v>368</v>
      </c>
      <c r="R888" s="36"/>
      <c r="S888" s="36" t="s">
        <v>368</v>
      </c>
    </row>
    <row r="889" spans="15:19" ht="12.75">
      <c r="O889" s="36" t="s">
        <v>350</v>
      </c>
      <c r="P889" s="36"/>
      <c r="Q889" s="36" t="s">
        <v>369</v>
      </c>
      <c r="R889" s="36"/>
      <c r="S889" s="36" t="s">
        <v>372</v>
      </c>
    </row>
    <row r="891" spans="3:19" ht="12.75">
      <c r="C891" s="12" t="s">
        <v>305</v>
      </c>
      <c r="I891" s="33"/>
      <c r="J891" s="33"/>
      <c r="K891" s="33"/>
      <c r="L891" s="33"/>
      <c r="M891" s="33"/>
      <c r="N891" s="33" t="s">
        <v>320</v>
      </c>
      <c r="O891" s="2" t="s">
        <v>351</v>
      </c>
      <c r="Q891" s="114">
        <v>0</v>
      </c>
      <c r="R891" s="114"/>
      <c r="S891" s="114">
        <v>108209</v>
      </c>
    </row>
    <row r="892" spans="3:19" ht="12.75">
      <c r="C892" s="12" t="s">
        <v>587</v>
      </c>
      <c r="I892" s="33"/>
      <c r="J892" s="33"/>
      <c r="K892" s="33"/>
      <c r="L892" s="33"/>
      <c r="M892" s="33"/>
      <c r="N892" s="33" t="s">
        <v>320</v>
      </c>
      <c r="O892" s="2" t="s">
        <v>351</v>
      </c>
      <c r="Q892" s="114">
        <v>5125</v>
      </c>
      <c r="R892" s="114"/>
      <c r="S892" s="114">
        <v>769</v>
      </c>
    </row>
    <row r="893" ht="9.75" customHeight="1"/>
    <row r="894" spans="2:17" ht="12.75">
      <c r="B894" s="32">
        <v>39</v>
      </c>
      <c r="C894" s="9" t="s">
        <v>306</v>
      </c>
      <c r="Q894" s="13"/>
    </row>
    <row r="895" spans="15:19" ht="12.75">
      <c r="O895" s="36" t="s">
        <v>347</v>
      </c>
      <c r="P895" s="36"/>
      <c r="Q895" s="61" t="s">
        <v>366</v>
      </c>
      <c r="R895" s="36"/>
      <c r="S895" s="36" t="s">
        <v>371</v>
      </c>
    </row>
    <row r="896" spans="15:19" ht="12.75">
      <c r="O896" s="36" t="s">
        <v>352</v>
      </c>
      <c r="P896" s="36"/>
      <c r="Q896" s="61" t="s">
        <v>367</v>
      </c>
      <c r="R896" s="36"/>
      <c r="S896" s="36" t="s">
        <v>367</v>
      </c>
    </row>
    <row r="897" spans="15:19" ht="12.75">
      <c r="O897" s="36" t="s">
        <v>349</v>
      </c>
      <c r="P897" s="36"/>
      <c r="Q897" s="61" t="s">
        <v>368</v>
      </c>
      <c r="R897" s="36"/>
      <c r="S897" s="36" t="s">
        <v>368</v>
      </c>
    </row>
    <row r="898" spans="15:19" ht="12.75">
      <c r="O898" s="36" t="s">
        <v>350</v>
      </c>
      <c r="P898" s="36"/>
      <c r="Q898" s="61" t="s">
        <v>369</v>
      </c>
      <c r="R898" s="36"/>
      <c r="S898" s="36" t="s">
        <v>372</v>
      </c>
    </row>
    <row r="899" ht="12.75">
      <c r="Q899" s="13"/>
    </row>
    <row r="900" spans="3:19" ht="12.75">
      <c r="C900" s="12" t="s">
        <v>307</v>
      </c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 t="s">
        <v>320</v>
      </c>
      <c r="O900" s="2" t="s">
        <v>353</v>
      </c>
      <c r="Q900" s="119">
        <v>11511</v>
      </c>
      <c r="R900" s="114"/>
      <c r="S900" s="114">
        <v>2832</v>
      </c>
    </row>
    <row r="901" ht="9.75" customHeight="1">
      <c r="Q901" s="13"/>
    </row>
    <row r="902" spans="17:19" ht="12.75">
      <c r="Q902" s="30">
        <v>2004</v>
      </c>
      <c r="R902" s="31"/>
      <c r="S902" s="31">
        <v>2003</v>
      </c>
    </row>
    <row r="903" spans="2:19" ht="12.75">
      <c r="B903" s="32">
        <v>40</v>
      </c>
      <c r="C903" s="9" t="s">
        <v>308</v>
      </c>
      <c r="Q903" s="28"/>
      <c r="R903" s="8"/>
      <c r="S903" s="8"/>
    </row>
    <row r="904" spans="3:19" ht="12.75">
      <c r="C904" s="12" t="s">
        <v>309</v>
      </c>
      <c r="Q904" s="28"/>
      <c r="R904" s="8"/>
      <c r="S904" s="8"/>
    </row>
    <row r="905" spans="3:19" ht="12.75">
      <c r="C905" s="12" t="s">
        <v>310</v>
      </c>
      <c r="Q905" s="28"/>
      <c r="R905" s="8"/>
      <c r="S905" s="8"/>
    </row>
    <row r="906" spans="3:19" ht="12.75">
      <c r="C906" s="12" t="s">
        <v>311</v>
      </c>
      <c r="G906" s="33"/>
      <c r="H906" s="33"/>
      <c r="I906" s="33"/>
      <c r="J906" s="33"/>
      <c r="K906" s="33"/>
      <c r="L906" s="33"/>
      <c r="M906" s="33"/>
      <c r="N906" s="33"/>
      <c r="O906" s="33"/>
      <c r="P906" s="33" t="s">
        <v>320</v>
      </c>
      <c r="Q906" s="108">
        <v>75</v>
      </c>
      <c r="R906" s="8"/>
      <c r="S906" s="8">
        <v>90</v>
      </c>
    </row>
    <row r="907" spans="3:19" ht="12.75">
      <c r="C907" s="12" t="s">
        <v>312</v>
      </c>
      <c r="L907" s="33"/>
      <c r="M907" s="33"/>
      <c r="N907" s="33"/>
      <c r="O907" s="33"/>
      <c r="P907" s="33" t="s">
        <v>320</v>
      </c>
      <c r="Q907" s="108">
        <v>0</v>
      </c>
      <c r="R907" s="8"/>
      <c r="S907" s="8">
        <v>15</v>
      </c>
    </row>
    <row r="908" spans="17:19" ht="12.75">
      <c r="Q908" s="57"/>
      <c r="R908" s="8"/>
      <c r="S908" s="8"/>
    </row>
    <row r="909" spans="17:19" ht="12.75">
      <c r="Q909" s="13"/>
      <c r="R909" s="8"/>
      <c r="S909" s="8"/>
    </row>
    <row r="910" spans="17:19" ht="12.75">
      <c r="Q910" s="13"/>
      <c r="R910" s="8"/>
      <c r="S910" s="8"/>
    </row>
    <row r="911" spans="17:19" ht="12.75">
      <c r="Q911" s="13"/>
      <c r="R911" s="8"/>
      <c r="S911" s="8"/>
    </row>
    <row r="912" spans="17:19" ht="12.75">
      <c r="Q912" s="13"/>
      <c r="R912" s="8"/>
      <c r="S912" s="8"/>
    </row>
    <row r="913" spans="17:19" ht="12.75">
      <c r="Q913" s="13"/>
      <c r="R913" s="8"/>
      <c r="S913" s="8"/>
    </row>
    <row r="914" spans="17:19" ht="12.75">
      <c r="Q914" s="13"/>
      <c r="R914" s="8"/>
      <c r="S914" s="8"/>
    </row>
    <row r="915" spans="17:19" ht="12.75">
      <c r="Q915" s="13"/>
      <c r="R915" s="8"/>
      <c r="S915" s="8"/>
    </row>
  </sheetData>
  <printOptions horizontalCentered="1"/>
  <pageMargins left="0.5118055555555555" right="0.27569444444444446" top="0.5902777777777778" bottom="0.1909722222222222" header="0" footer="0"/>
  <pageSetup firstPageNumber="18" useFirstPageNumber="1" fitToHeight="0" fitToWidth="1" horizontalDpi="600" verticalDpi="600" orientation="portrait" paperSize="9" scale="90" r:id="rId1"/>
  <headerFooter alignWithMargins="0">
    <oddFooter>&amp;C&amp;10&amp;P</oddFooter>
  </headerFooter>
  <rowBreaks count="28" manualBreakCount="28">
    <brk id="1" min="1" max="45542" man="1"/>
    <brk id="1" min="1" max="52590" man="1"/>
    <brk id="1" min="1" max="64471" man="1"/>
    <brk id="2" min="2" max="10018" man="1"/>
    <brk id="2" min="2" max="20544" man="1"/>
    <brk id="12" max="255" man="1"/>
    <brk id="62" max="18" man="1"/>
    <brk id="129" max="18" man="1"/>
    <brk id="196" max="18" man="1"/>
    <brk id="241" max="18" man="1"/>
    <brk id="252" min="271" max="317" man="1"/>
    <brk id="306" max="18" man="1"/>
    <brk id="356" max="18" man="1"/>
    <brk id="365" min="431" max="485" man="1"/>
    <brk id="422" max="18" man="1"/>
    <brk id="489" max="18" man="1"/>
    <brk id="543" min="602" max="664" man="1"/>
    <brk id="553" max="18" man="1"/>
    <brk id="622" max="18" man="1"/>
    <brk id="680" max="18" man="1"/>
    <brk id="745" min="798" max="856" man="1"/>
    <brk id="763" max="18" man="1"/>
    <brk id="829" max="18" man="1"/>
    <brk id="2819" min="2" max="6570" man="1"/>
    <brk id="13723" min="2" max="17079" man="1"/>
    <brk id="40764" min="1" max="43128" man="1"/>
    <brk id="47900" min="1" max="50182" man="1"/>
    <brk id="56533" min="1" max="606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7"/>
  <sheetViews>
    <sheetView tabSelected="1" zoomScale="87" zoomScaleNormal="87" workbookViewId="0" topLeftCell="A172">
      <selection activeCell="B207" sqref="B207"/>
    </sheetView>
  </sheetViews>
  <sheetFormatPr defaultColWidth="8.88671875" defaultRowHeight="15"/>
  <cols>
    <col min="1" max="1" width="3.6640625" style="2" customWidth="1"/>
    <col min="2" max="2" width="39.5546875" style="1" customWidth="1"/>
    <col min="3" max="3" width="11.4453125" style="1" customWidth="1"/>
    <col min="4" max="4" width="8.21484375" style="1" customWidth="1"/>
    <col min="5" max="5" width="1.66796875" style="1" customWidth="1"/>
    <col min="6" max="6" width="10.6640625" style="1" customWidth="1"/>
    <col min="7" max="7" width="1.66796875" style="1" customWidth="1"/>
    <col min="8" max="8" width="11.4453125" style="1" bestFit="1" customWidth="1"/>
    <col min="9" max="9" width="9.6640625" style="1" customWidth="1"/>
    <col min="10" max="10" width="11.6640625" style="1" customWidth="1"/>
    <col min="11" max="11" width="13.6640625" style="1" customWidth="1"/>
    <col min="12" max="16384" width="9.6640625" style="1" customWidth="1"/>
  </cols>
  <sheetData>
    <row r="1" spans="2:9" ht="174" customHeight="1">
      <c r="B1" s="8"/>
      <c r="C1" s="8"/>
      <c r="D1" s="8"/>
      <c r="E1" s="8"/>
      <c r="F1" s="8"/>
      <c r="G1" s="8"/>
      <c r="H1" s="8"/>
      <c r="I1" s="8"/>
    </row>
    <row r="2" ht="30" customHeight="1">
      <c r="I2" s="8"/>
    </row>
    <row r="3" spans="2:9" ht="22.5">
      <c r="B3" s="62" t="s">
        <v>37</v>
      </c>
      <c r="C3" s="3"/>
      <c r="D3" s="3"/>
      <c r="E3" s="3"/>
      <c r="F3" s="3"/>
      <c r="G3" s="3"/>
      <c r="H3" s="3"/>
      <c r="I3" s="8"/>
    </row>
    <row r="4" spans="2:9" ht="22.5">
      <c r="B4" s="62" t="s">
        <v>38</v>
      </c>
      <c r="C4" s="3"/>
      <c r="D4" s="3"/>
      <c r="E4" s="3"/>
      <c r="F4" s="3"/>
      <c r="G4" s="3"/>
      <c r="H4" s="3"/>
      <c r="I4" s="8"/>
    </row>
    <row r="5" spans="2:9" ht="12.75">
      <c r="B5" s="3"/>
      <c r="C5" s="3"/>
      <c r="D5" s="3"/>
      <c r="E5" s="3"/>
      <c r="F5" s="3"/>
      <c r="G5" s="3"/>
      <c r="H5" s="3"/>
      <c r="I5" s="8"/>
    </row>
    <row r="6" spans="2:9" ht="12.75">
      <c r="B6" s="3"/>
      <c r="C6" s="3"/>
      <c r="D6" s="3"/>
      <c r="E6" s="3"/>
      <c r="F6" s="3"/>
      <c r="G6" s="3"/>
      <c r="H6" s="3"/>
      <c r="I6" s="8"/>
    </row>
    <row r="7" spans="2:9" ht="12.75">
      <c r="B7" s="3"/>
      <c r="C7" s="3"/>
      <c r="D7" s="3"/>
      <c r="E7" s="3"/>
      <c r="F7" s="3"/>
      <c r="G7" s="3"/>
      <c r="H7" s="3"/>
      <c r="I7" s="8"/>
    </row>
    <row r="8" spans="2:9" ht="18.75">
      <c r="B8" s="5"/>
      <c r="C8" s="3"/>
      <c r="D8" s="3"/>
      <c r="E8" s="3"/>
      <c r="F8" s="3"/>
      <c r="G8" s="3"/>
      <c r="H8" s="3"/>
      <c r="I8" s="8"/>
    </row>
    <row r="9" spans="2:9" ht="18.75">
      <c r="B9" s="5"/>
      <c r="C9" s="3"/>
      <c r="D9" s="3"/>
      <c r="E9" s="3"/>
      <c r="F9" s="3"/>
      <c r="G9" s="3"/>
      <c r="H9" s="3"/>
      <c r="I9" s="8"/>
    </row>
    <row r="10" ht="12.75">
      <c r="I10" s="8"/>
    </row>
    <row r="11" ht="12.75">
      <c r="I11" s="8"/>
    </row>
    <row r="12" spans="2:9" ht="99.75" customHeight="1">
      <c r="B12" s="6"/>
      <c r="C12" s="3"/>
      <c r="D12" s="3"/>
      <c r="E12" s="3"/>
      <c r="F12" s="3"/>
      <c r="G12" s="3"/>
      <c r="H12" s="3"/>
      <c r="I12" s="8"/>
    </row>
    <row r="13" spans="2:11" ht="18.75">
      <c r="B13" s="63" t="s">
        <v>439</v>
      </c>
      <c r="C13" s="8"/>
      <c r="D13" s="8"/>
      <c r="E13" s="8"/>
      <c r="F13" s="8"/>
      <c r="G13" s="8"/>
      <c r="H13" s="8"/>
      <c r="I13" s="8"/>
      <c r="J13" s="8"/>
      <c r="K13" s="8"/>
    </row>
    <row r="14" spans="2:9" ht="18.75">
      <c r="B14" s="63" t="s">
        <v>378</v>
      </c>
      <c r="I14" s="8"/>
    </row>
    <row r="15" ht="12.75">
      <c r="I15" s="8"/>
    </row>
    <row r="16" ht="12.75">
      <c r="I16" s="8"/>
    </row>
    <row r="17" spans="2:9" ht="12.75">
      <c r="B17" s="12" t="s">
        <v>379</v>
      </c>
      <c r="I17" s="8"/>
    </row>
    <row r="18" spans="2:9" ht="12.75">
      <c r="B18" s="12" t="s">
        <v>380</v>
      </c>
      <c r="I18" s="8"/>
    </row>
    <row r="19" ht="12.75">
      <c r="I19" s="8"/>
    </row>
    <row r="20" spans="2:9" ht="12.75">
      <c r="B20" s="12" t="s">
        <v>569</v>
      </c>
      <c r="I20" s="8"/>
    </row>
    <row r="21" spans="2:9" ht="12.75">
      <c r="B21" s="12" t="s">
        <v>570</v>
      </c>
      <c r="I21" s="8"/>
    </row>
    <row r="22" ht="12.75">
      <c r="I22" s="8"/>
    </row>
    <row r="23" spans="2:9" ht="12.75">
      <c r="B23" s="12" t="s">
        <v>531</v>
      </c>
      <c r="I23" s="8"/>
    </row>
    <row r="24" ht="12.75">
      <c r="I24" s="8"/>
    </row>
    <row r="25" spans="2:9" ht="12.75">
      <c r="B25" s="12" t="s">
        <v>706</v>
      </c>
      <c r="I25" s="8"/>
    </row>
    <row r="26" ht="12.75">
      <c r="I26" s="8"/>
    </row>
    <row r="27" spans="2:9" ht="12.75">
      <c r="B27" s="12" t="s">
        <v>532</v>
      </c>
      <c r="I27" s="8"/>
    </row>
    <row r="28" ht="12.75">
      <c r="I28" s="8"/>
    </row>
    <row r="29" spans="2:9" ht="12.75">
      <c r="B29" s="12" t="s">
        <v>533</v>
      </c>
      <c r="I29" s="8"/>
    </row>
    <row r="30" ht="12.75">
      <c r="I30" s="8"/>
    </row>
    <row r="31" spans="2:9" ht="12.75">
      <c r="B31" s="12" t="s">
        <v>440</v>
      </c>
      <c r="I31" s="8"/>
    </row>
    <row r="32" ht="12.75">
      <c r="I32" s="8"/>
    </row>
    <row r="33" spans="2:9" ht="12.75">
      <c r="B33" s="12" t="s">
        <v>707</v>
      </c>
      <c r="I33" s="8"/>
    </row>
    <row r="34" spans="2:9" ht="12.75">
      <c r="B34" s="12" t="s">
        <v>534</v>
      </c>
      <c r="I34" s="8"/>
    </row>
    <row r="35" ht="12.75">
      <c r="I35" s="8"/>
    </row>
    <row r="36" ht="12.75">
      <c r="I36" s="8"/>
    </row>
    <row r="37" ht="12.75">
      <c r="I37" s="8"/>
    </row>
    <row r="38" ht="12.75">
      <c r="I38" s="8"/>
    </row>
    <row r="39" spans="2:9" ht="12.75">
      <c r="B39" s="12" t="s">
        <v>535</v>
      </c>
      <c r="I39" s="8"/>
    </row>
    <row r="40" ht="12.75">
      <c r="I40" s="8"/>
    </row>
    <row r="41" spans="2:9" ht="12.75">
      <c r="B41" s="12" t="s">
        <v>536</v>
      </c>
      <c r="I41" s="8"/>
    </row>
    <row r="42" spans="2:9" ht="12.75">
      <c r="B42" s="12" t="s">
        <v>537</v>
      </c>
      <c r="I42" s="8"/>
    </row>
    <row r="43" ht="12.75">
      <c r="I43" s="8"/>
    </row>
    <row r="44" spans="2:9" ht="12.75">
      <c r="B44" s="12" t="s">
        <v>538</v>
      </c>
      <c r="I44" s="8"/>
    </row>
    <row r="45" ht="12.75">
      <c r="I45" s="8"/>
    </row>
    <row r="46" spans="2:9" ht="12.75">
      <c r="B46" s="12" t="s">
        <v>539</v>
      </c>
      <c r="I46" s="8"/>
    </row>
    <row r="47" ht="12.75">
      <c r="I47" s="8"/>
    </row>
    <row r="48" spans="2:9" ht="12.75">
      <c r="B48" s="12" t="s">
        <v>525</v>
      </c>
      <c r="I48" s="8"/>
    </row>
    <row r="49" ht="12.75">
      <c r="I49" s="8"/>
    </row>
    <row r="50" spans="2:9" ht="12.75">
      <c r="B50" s="12" t="s">
        <v>526</v>
      </c>
      <c r="I50" s="8"/>
    </row>
    <row r="51" ht="12.75">
      <c r="I51" s="8"/>
    </row>
    <row r="52" spans="2:9" ht="12.75">
      <c r="B52" s="12" t="s">
        <v>441</v>
      </c>
      <c r="I52" s="8"/>
    </row>
    <row r="53" ht="12.75">
      <c r="I53" s="8"/>
    </row>
    <row r="54" spans="2:9" ht="12.75">
      <c r="B54" s="12" t="s">
        <v>708</v>
      </c>
      <c r="I54" s="8"/>
    </row>
    <row r="55" spans="2:9" ht="12.75">
      <c r="B55" s="12" t="s">
        <v>527</v>
      </c>
      <c r="I55" s="8"/>
    </row>
    <row r="56" ht="12.75">
      <c r="I56" s="8"/>
    </row>
    <row r="57" spans="2:11" ht="18.75">
      <c r="B57" s="63" t="s">
        <v>528</v>
      </c>
      <c r="C57" s="63"/>
      <c r="D57" s="64"/>
      <c r="E57" s="8"/>
      <c r="F57" s="8"/>
      <c r="G57" s="8"/>
      <c r="H57" s="8"/>
      <c r="I57" s="8"/>
      <c r="J57" s="8"/>
      <c r="K57" s="8"/>
    </row>
    <row r="58" spans="2:9" ht="18.75">
      <c r="B58" s="63"/>
      <c r="C58" s="63"/>
      <c r="D58" s="64"/>
      <c r="I58" s="8"/>
    </row>
    <row r="59" spans="2:9" ht="18.75">
      <c r="B59" s="63"/>
      <c r="C59" s="63"/>
      <c r="D59" s="64"/>
      <c r="I59" s="8"/>
    </row>
    <row r="60" ht="12.75">
      <c r="I60" s="8"/>
    </row>
    <row r="61" spans="4:9" ht="12.75">
      <c r="D61" s="64" t="s">
        <v>831</v>
      </c>
      <c r="F61" s="28"/>
      <c r="I61" s="8"/>
    </row>
    <row r="62" spans="2:9" ht="12.75">
      <c r="B62" s="12" t="s">
        <v>114</v>
      </c>
      <c r="D62" s="64" t="s">
        <v>832</v>
      </c>
      <c r="F62" s="65">
        <v>2004</v>
      </c>
      <c r="H62" s="66">
        <v>2003</v>
      </c>
      <c r="I62" s="8"/>
    </row>
    <row r="63" spans="6:9" ht="12.75">
      <c r="F63" s="28"/>
      <c r="I63" s="8"/>
    </row>
    <row r="64" spans="2:9" ht="18" customHeight="1">
      <c r="B64" s="12" t="s">
        <v>529</v>
      </c>
      <c r="C64" s="33"/>
      <c r="D64" s="33" t="s">
        <v>320</v>
      </c>
      <c r="F64" s="28">
        <v>736.04009</v>
      </c>
      <c r="H64" s="1">
        <v>954.84129</v>
      </c>
      <c r="I64" s="8"/>
    </row>
    <row r="65" spans="2:9" ht="18" customHeight="1">
      <c r="B65" s="12" t="s">
        <v>530</v>
      </c>
      <c r="C65" s="33"/>
      <c r="D65" s="33" t="s">
        <v>320</v>
      </c>
      <c r="F65" s="84">
        <v>-0.13688</v>
      </c>
      <c r="H65" s="86">
        <v>-0.13688</v>
      </c>
      <c r="I65" s="8"/>
    </row>
    <row r="66" spans="2:9" ht="18" customHeight="1">
      <c r="B66" s="12" t="s">
        <v>657</v>
      </c>
      <c r="C66" s="33"/>
      <c r="D66" s="2"/>
      <c r="F66" s="83">
        <f>F64+F65</f>
        <v>735.90321</v>
      </c>
      <c r="H66" s="85">
        <f>H64+H65</f>
        <v>954.7044099999999</v>
      </c>
      <c r="I66" s="8"/>
    </row>
    <row r="67" spans="2:9" ht="30" customHeight="1">
      <c r="B67" s="12" t="s">
        <v>658</v>
      </c>
      <c r="C67" s="33"/>
      <c r="D67" s="33" t="s">
        <v>320</v>
      </c>
      <c r="F67" s="84">
        <v>0</v>
      </c>
      <c r="H67" s="88">
        <v>0</v>
      </c>
      <c r="I67" s="8"/>
    </row>
    <row r="68" spans="2:9" ht="18" customHeight="1">
      <c r="B68" s="12"/>
      <c r="C68" s="33"/>
      <c r="D68" s="33"/>
      <c r="F68" s="84">
        <f>SUM(F66:F67)</f>
        <v>735.90321</v>
      </c>
      <c r="H68" s="89">
        <f>SUM(H66:H67)</f>
        <v>954.7044099999999</v>
      </c>
      <c r="I68" s="8"/>
    </row>
    <row r="69" spans="2:9" ht="18" customHeight="1">
      <c r="B69" s="12" t="s">
        <v>659</v>
      </c>
      <c r="C69" s="33"/>
      <c r="D69" s="33" t="s">
        <v>320</v>
      </c>
      <c r="F69" s="83">
        <f>-360-60-6.78</f>
        <v>-426.78</v>
      </c>
      <c r="H69" s="81">
        <f>-360-60-5.572</f>
        <v>-425.572</v>
      </c>
      <c r="I69" s="8"/>
    </row>
    <row r="70" spans="2:9" ht="18" customHeight="1">
      <c r="B70" s="12" t="s">
        <v>660</v>
      </c>
      <c r="C70" s="33"/>
      <c r="D70" s="33" t="s">
        <v>320</v>
      </c>
      <c r="F70" s="83">
        <f>-2.9991-204.72372</f>
        <v>-207.72281999999998</v>
      </c>
      <c r="H70" s="90">
        <f>-6.9716-208.00861</f>
        <v>-214.98021</v>
      </c>
      <c r="I70" s="8"/>
    </row>
    <row r="71" spans="6:10" ht="18" customHeight="1">
      <c r="F71" s="84">
        <f>F69+F70</f>
        <v>-634.5028199999999</v>
      </c>
      <c r="H71" s="88">
        <f>H69+H70</f>
        <v>-640.5522100000001</v>
      </c>
      <c r="I71" s="8"/>
      <c r="J71" s="79"/>
    </row>
    <row r="72" spans="2:9" ht="30" customHeight="1">
      <c r="B72" s="9" t="s">
        <v>661</v>
      </c>
      <c r="C72" s="9"/>
      <c r="D72" s="67" t="s">
        <v>320</v>
      </c>
      <c r="F72" s="92">
        <f>F68+F71</f>
        <v>101.40039000000002</v>
      </c>
      <c r="H72" s="91">
        <f>H68+H71</f>
        <v>314.1521999999999</v>
      </c>
      <c r="I72" s="8"/>
    </row>
    <row r="73" spans="6:9" ht="18" customHeight="1">
      <c r="F73" s="28"/>
      <c r="I73" s="8"/>
    </row>
    <row r="74" spans="2:9" ht="18" customHeight="1">
      <c r="B74" s="12" t="s">
        <v>662</v>
      </c>
      <c r="D74" s="33" t="s">
        <v>320</v>
      </c>
      <c r="F74" s="28">
        <v>49711.4</v>
      </c>
      <c r="H74" s="1">
        <f>20000*0.994228</f>
        <v>19884.56</v>
      </c>
      <c r="I74" s="8"/>
    </row>
    <row r="75" spans="6:9" ht="18" customHeight="1">
      <c r="F75" s="28"/>
      <c r="I75" s="8"/>
    </row>
    <row r="76" spans="2:9" ht="18" customHeight="1">
      <c r="B76" s="12" t="s">
        <v>663</v>
      </c>
      <c r="C76" s="33"/>
      <c r="D76" s="33" t="s">
        <v>320</v>
      </c>
      <c r="F76" s="28">
        <v>88.6</v>
      </c>
      <c r="H76" s="1">
        <v>15.8</v>
      </c>
      <c r="I76" s="8"/>
    </row>
    <row r="77" spans="2:9" ht="18" customHeight="1">
      <c r="B77" s="12" t="s">
        <v>838</v>
      </c>
      <c r="F77" s="28"/>
      <c r="I77" s="8"/>
    </row>
    <row r="78" spans="2:9" ht="12.75">
      <c r="B78" s="12" t="s">
        <v>138</v>
      </c>
      <c r="C78" s="33"/>
      <c r="D78" s="2">
        <v>1</v>
      </c>
      <c r="F78" s="83">
        <f>96529.89885-(50000*0.994228)</f>
        <v>46818.498849999996</v>
      </c>
      <c r="H78" s="90">
        <f>37764.54824-(20000*0.994228)</f>
        <v>17879.988239999995</v>
      </c>
      <c r="I78" s="8"/>
    </row>
    <row r="79" spans="6:9" ht="18" customHeight="1">
      <c r="F79" s="84">
        <f>F74+F76+F78</f>
        <v>96618.49885</v>
      </c>
      <c r="H79" s="88">
        <f>H74+H76+H78</f>
        <v>37780.34823999999</v>
      </c>
      <c r="I79" s="8"/>
    </row>
    <row r="80" spans="2:9" ht="30" customHeight="1">
      <c r="B80" s="9" t="s">
        <v>9</v>
      </c>
      <c r="C80" s="68"/>
      <c r="D80" s="33" t="s">
        <v>320</v>
      </c>
      <c r="F80" s="92">
        <f>F72+F79</f>
        <v>96719.89924</v>
      </c>
      <c r="H80" s="91">
        <f>H72+H79</f>
        <v>38094.50043999999</v>
      </c>
      <c r="I80" s="8"/>
    </row>
    <row r="81" spans="2:9" ht="30" customHeight="1">
      <c r="B81" s="12" t="s">
        <v>10</v>
      </c>
      <c r="C81" s="33"/>
      <c r="D81" s="33" t="s">
        <v>320</v>
      </c>
      <c r="F81" s="28">
        <v>-29.82</v>
      </c>
      <c r="H81" s="1">
        <v>-64.52</v>
      </c>
      <c r="I81" s="8"/>
    </row>
    <row r="82" spans="2:9" ht="18" customHeight="1">
      <c r="B82" s="12" t="s">
        <v>11</v>
      </c>
      <c r="C82" s="33"/>
      <c r="D82" s="33" t="s">
        <v>320</v>
      </c>
      <c r="F82" s="28">
        <v>0</v>
      </c>
      <c r="H82" s="1">
        <v>0</v>
      </c>
      <c r="I82" s="8"/>
    </row>
    <row r="83" spans="2:9" ht="18" customHeight="1">
      <c r="B83" s="12" t="s">
        <v>12</v>
      </c>
      <c r="C83" s="33"/>
      <c r="D83" s="33" t="s">
        <v>320</v>
      </c>
      <c r="F83" s="83">
        <v>0</v>
      </c>
      <c r="H83" s="90">
        <v>0</v>
      </c>
      <c r="I83" s="8"/>
    </row>
    <row r="84" spans="6:9" ht="18" customHeight="1">
      <c r="F84" s="84">
        <f>SUM(F81:F83)</f>
        <v>-29.82</v>
      </c>
      <c r="H84" s="88">
        <f>SUM(H81:H83)</f>
        <v>-64.52</v>
      </c>
      <c r="I84" s="8"/>
    </row>
    <row r="85" spans="2:10" ht="30" customHeight="1">
      <c r="B85" s="9" t="s">
        <v>13</v>
      </c>
      <c r="C85" s="68"/>
      <c r="D85" s="2">
        <v>4</v>
      </c>
      <c r="F85" s="93">
        <f>F80+F84</f>
        <v>96690.07923999999</v>
      </c>
      <c r="H85" s="94">
        <f>H80+H84</f>
        <v>38029.98043999999</v>
      </c>
      <c r="I85" s="8"/>
      <c r="J85" s="79"/>
    </row>
    <row r="86" spans="6:10" ht="12.75">
      <c r="F86" s="83"/>
      <c r="H86" s="81"/>
      <c r="I86" s="8"/>
      <c r="J86" s="79"/>
    </row>
    <row r="87" spans="6:9" ht="30" customHeight="1">
      <c r="F87" s="28"/>
      <c r="I87" s="8"/>
    </row>
    <row r="88" spans="2:9" ht="13.5" customHeight="1">
      <c r="B88" s="9" t="s">
        <v>14</v>
      </c>
      <c r="C88" s="9"/>
      <c r="F88" s="28"/>
      <c r="I88" s="8"/>
    </row>
    <row r="89" spans="2:9" ht="13.5" customHeight="1">
      <c r="B89" s="12" t="s">
        <v>15</v>
      </c>
      <c r="C89" s="9"/>
      <c r="F89" s="28"/>
      <c r="I89" s="8"/>
    </row>
    <row r="90" spans="2:9" ht="13.5" customHeight="1">
      <c r="B90" s="12" t="s">
        <v>16</v>
      </c>
      <c r="C90" s="33"/>
      <c r="D90" s="33" t="s">
        <v>320</v>
      </c>
      <c r="F90" s="28">
        <v>49711.4</v>
      </c>
      <c r="H90" s="1">
        <v>19884.56</v>
      </c>
      <c r="I90" s="8"/>
    </row>
    <row r="91" spans="2:10" ht="13.5" customHeight="1">
      <c r="B91" s="12" t="s">
        <v>17</v>
      </c>
      <c r="C91" s="33"/>
      <c r="D91" s="33" t="s">
        <v>320</v>
      </c>
      <c r="F91" s="84">
        <f>F85-F90</f>
        <v>46978.67923999999</v>
      </c>
      <c r="H91" s="86">
        <v>18147.72044</v>
      </c>
      <c r="I91" s="8"/>
      <c r="J91" s="79"/>
    </row>
    <row r="92" spans="6:9" ht="13.5" customHeight="1">
      <c r="F92" s="102">
        <f>SUM(F90:F91)</f>
        <v>96690.07923999999</v>
      </c>
      <c r="H92" s="88">
        <f>SUM(H90:H91)</f>
        <v>38032.28044</v>
      </c>
      <c r="I92" s="8"/>
    </row>
    <row r="93" spans="2:11" ht="18.75">
      <c r="B93" s="63" t="s">
        <v>18</v>
      </c>
      <c r="C93" s="63"/>
      <c r="D93" s="64"/>
      <c r="E93" s="8"/>
      <c r="F93" s="81"/>
      <c r="G93" s="81"/>
      <c r="H93" s="81"/>
      <c r="I93" s="8"/>
      <c r="J93" s="8"/>
      <c r="K93" s="8"/>
    </row>
    <row r="94" spans="2:9" ht="18.75">
      <c r="B94" s="63"/>
      <c r="C94" s="63"/>
      <c r="D94" s="64"/>
      <c r="I94" s="8"/>
    </row>
    <row r="95" spans="2:9" ht="18.75">
      <c r="B95" s="63"/>
      <c r="C95" s="63"/>
      <c r="D95" s="64"/>
      <c r="I95" s="8"/>
    </row>
    <row r="96" spans="4:9" ht="12.75">
      <c r="D96" s="64" t="s">
        <v>833</v>
      </c>
      <c r="F96" s="28"/>
      <c r="I96" s="8"/>
    </row>
    <row r="97" spans="2:9" ht="12.75">
      <c r="B97" s="12" t="s">
        <v>114</v>
      </c>
      <c r="D97" s="64" t="s">
        <v>832</v>
      </c>
      <c r="F97" s="65">
        <f>F62</f>
        <v>2004</v>
      </c>
      <c r="H97" s="66">
        <f>H62</f>
        <v>2003</v>
      </c>
      <c r="I97" s="8"/>
    </row>
    <row r="98" spans="4:9" ht="12.75">
      <c r="D98" s="64"/>
      <c r="F98" s="69"/>
      <c r="H98" s="70"/>
      <c r="I98" s="8"/>
    </row>
    <row r="99" spans="2:9" ht="12.75">
      <c r="B99" s="9" t="s">
        <v>19</v>
      </c>
      <c r="C99" s="9"/>
      <c r="F99" s="28"/>
      <c r="I99" s="8"/>
    </row>
    <row r="100" spans="2:9" ht="30" customHeight="1">
      <c r="B100" s="12" t="s">
        <v>20</v>
      </c>
      <c r="C100" s="33"/>
      <c r="D100" s="33" t="s">
        <v>320</v>
      </c>
      <c r="F100" s="28">
        <v>0</v>
      </c>
      <c r="H100" s="1">
        <v>0</v>
      </c>
      <c r="I100" s="8"/>
    </row>
    <row r="101" spans="2:9" ht="18" customHeight="1">
      <c r="B101" s="12" t="s">
        <v>21</v>
      </c>
      <c r="C101" s="33"/>
      <c r="D101" s="2">
        <v>1</v>
      </c>
      <c r="F101" s="28">
        <v>1548213.38939</v>
      </c>
      <c r="H101" s="1">
        <v>1501394.89054</v>
      </c>
      <c r="I101" s="8"/>
    </row>
    <row r="102" spans="2:9" ht="18" customHeight="1">
      <c r="B102" s="12" t="s">
        <v>22</v>
      </c>
      <c r="C102" s="33"/>
      <c r="D102" s="2"/>
      <c r="F102" s="28"/>
      <c r="I102" s="8"/>
    </row>
    <row r="103" spans="2:9" ht="12" customHeight="1">
      <c r="B103" s="12" t="s">
        <v>23</v>
      </c>
      <c r="C103" s="33"/>
      <c r="D103" s="33" t="s">
        <v>320</v>
      </c>
      <c r="F103" s="84">
        <v>244.965</v>
      </c>
      <c r="H103" s="86">
        <v>244.965</v>
      </c>
      <c r="I103" s="8"/>
    </row>
    <row r="104" spans="2:9" ht="18" customHeight="1">
      <c r="B104" s="9" t="s">
        <v>24</v>
      </c>
      <c r="D104" s="67" t="s">
        <v>320</v>
      </c>
      <c r="F104" s="93">
        <f>SUM(F100:F103)</f>
        <v>1548458.35439</v>
      </c>
      <c r="H104" s="94">
        <f>SUM(H100:H103)</f>
        <v>1501639.8555400001</v>
      </c>
      <c r="I104" s="8"/>
    </row>
    <row r="105" spans="6:9" ht="18" customHeight="1">
      <c r="F105" s="83"/>
      <c r="H105" s="81"/>
      <c r="I105" s="8"/>
    </row>
    <row r="106" spans="2:9" ht="18" customHeight="1">
      <c r="B106" s="12" t="s">
        <v>25</v>
      </c>
      <c r="C106" s="33"/>
      <c r="D106" s="33" t="s">
        <v>320</v>
      </c>
      <c r="F106" s="28">
        <v>10051.4</v>
      </c>
      <c r="H106" s="1">
        <v>9964.6</v>
      </c>
      <c r="I106" s="8"/>
    </row>
    <row r="107" spans="2:9" ht="18" customHeight="1">
      <c r="B107" s="12" t="s">
        <v>26</v>
      </c>
      <c r="C107" s="33"/>
      <c r="D107" s="33" t="s">
        <v>320</v>
      </c>
      <c r="F107" s="28">
        <v>49711.4</v>
      </c>
      <c r="H107" s="1">
        <v>19884.56</v>
      </c>
      <c r="I107" s="8"/>
    </row>
    <row r="108" spans="2:9" ht="18" customHeight="1">
      <c r="B108" s="12" t="s">
        <v>27</v>
      </c>
      <c r="C108" s="33"/>
      <c r="D108" s="33" t="s">
        <v>320</v>
      </c>
      <c r="F108" s="28">
        <v>29</v>
      </c>
      <c r="H108" s="1">
        <v>26</v>
      </c>
      <c r="I108" s="8"/>
    </row>
    <row r="109" spans="2:9" ht="18" customHeight="1">
      <c r="B109" s="12" t="s">
        <v>28</v>
      </c>
      <c r="C109" s="33"/>
      <c r="D109" s="33" t="s">
        <v>320</v>
      </c>
      <c r="F109" s="84">
        <v>16483.03528</v>
      </c>
      <c r="H109" s="86">
        <v>16459.56103</v>
      </c>
      <c r="I109" s="8"/>
    </row>
    <row r="110" spans="2:9" ht="18" customHeight="1">
      <c r="B110" s="9" t="s">
        <v>29</v>
      </c>
      <c r="C110" s="9"/>
      <c r="D110" s="67" t="s">
        <v>320</v>
      </c>
      <c r="F110" s="93">
        <f>SUM(F106:F109)</f>
        <v>76274.83528</v>
      </c>
      <c r="H110" s="94">
        <f>SUM(H106:H109)</f>
        <v>46334.72103</v>
      </c>
      <c r="I110" s="8"/>
    </row>
    <row r="111" spans="6:9" ht="18" customHeight="1">
      <c r="F111" s="83"/>
      <c r="H111" s="81"/>
      <c r="I111" s="8"/>
    </row>
    <row r="112" spans="2:9" ht="18" customHeight="1">
      <c r="B112" s="9" t="s">
        <v>30</v>
      </c>
      <c r="C112" s="68"/>
      <c r="D112" s="33" t="s">
        <v>320</v>
      </c>
      <c r="F112" s="93">
        <f>F104+F110</f>
        <v>1624733.18967</v>
      </c>
      <c r="H112" s="94">
        <f>H104+H110</f>
        <v>1547974.57657</v>
      </c>
      <c r="I112" s="8"/>
    </row>
    <row r="113" spans="6:9" ht="18" customHeight="1">
      <c r="F113" s="83"/>
      <c r="H113" s="81"/>
      <c r="I113" s="8"/>
    </row>
    <row r="114" spans="6:9" ht="18" customHeight="1">
      <c r="F114" s="28"/>
      <c r="I114" s="8"/>
    </row>
    <row r="115" spans="2:9" ht="18" customHeight="1">
      <c r="B115" s="9" t="s">
        <v>31</v>
      </c>
      <c r="C115" s="9"/>
      <c r="F115" s="28"/>
      <c r="I115" s="8"/>
    </row>
    <row r="116" spans="2:9" ht="30" customHeight="1">
      <c r="B116" s="12" t="s">
        <v>32</v>
      </c>
      <c r="C116" s="33"/>
      <c r="D116" s="33" t="s">
        <v>320</v>
      </c>
      <c r="F116" s="28">
        <v>271580</v>
      </c>
      <c r="H116" s="1">
        <v>271580</v>
      </c>
      <c r="I116" s="8"/>
    </row>
    <row r="117" spans="2:9" ht="18" customHeight="1">
      <c r="B117" s="12" t="s">
        <v>33</v>
      </c>
      <c r="C117" s="33"/>
      <c r="D117" s="33" t="s">
        <v>320</v>
      </c>
      <c r="F117" s="84">
        <f>705528.18248+117849.558799+164725.81776+81868.20837+94643.13513+73591.9994+18147.72044+46978.81612</f>
        <v>1303333.4384990002</v>
      </c>
      <c r="H117" s="86">
        <f>705528.18248+117849.558799+164725.81776+81868.20837+94643.13513+73591.9994+18147.72044</f>
        <v>1256354.622379</v>
      </c>
      <c r="I117" s="8"/>
    </row>
    <row r="118" spans="2:9" ht="18" customHeight="1">
      <c r="B118" s="9" t="s">
        <v>34</v>
      </c>
      <c r="D118" s="2">
        <v>2</v>
      </c>
      <c r="F118" s="93">
        <f>SUM(F116:F117)</f>
        <v>1574913.4384990002</v>
      </c>
      <c r="H118" s="94">
        <f>SUM(H116:H117)</f>
        <v>1527934.622379</v>
      </c>
      <c r="I118" s="8"/>
    </row>
    <row r="119" spans="6:9" ht="18" customHeight="1">
      <c r="F119" s="83"/>
      <c r="H119" s="81"/>
      <c r="I119" s="8"/>
    </row>
    <row r="120" spans="2:9" ht="18" customHeight="1">
      <c r="B120" s="12" t="s">
        <v>35</v>
      </c>
      <c r="C120" s="33"/>
      <c r="D120" s="33" t="s">
        <v>320</v>
      </c>
      <c r="F120" s="28">
        <v>108.29698</v>
      </c>
      <c r="H120" s="1">
        <v>155.34</v>
      </c>
      <c r="I120" s="8"/>
    </row>
    <row r="121" spans="2:9" ht="18" customHeight="1">
      <c r="B121" s="12" t="s">
        <v>36</v>
      </c>
      <c r="F121" s="28"/>
      <c r="I121" s="8"/>
    </row>
    <row r="122" spans="2:9" ht="12" customHeight="1">
      <c r="B122" s="12" t="s">
        <v>582</v>
      </c>
      <c r="C122" s="33"/>
      <c r="D122" s="2">
        <v>3</v>
      </c>
      <c r="F122" s="84">
        <v>49711.425</v>
      </c>
      <c r="H122" s="86">
        <v>19884.585</v>
      </c>
      <c r="I122" s="8"/>
    </row>
    <row r="123" spans="2:9" ht="18" customHeight="1">
      <c r="B123" s="9" t="s">
        <v>583</v>
      </c>
      <c r="C123" s="68"/>
      <c r="D123" s="67" t="s">
        <v>320</v>
      </c>
      <c r="F123" s="93">
        <f>SUM(F120:F122)</f>
        <v>49819.72198</v>
      </c>
      <c r="H123" s="94">
        <f>SUM(H120:H122)</f>
        <v>20039.925</v>
      </c>
      <c r="I123" s="8"/>
    </row>
    <row r="124" spans="2:9" ht="30" customHeight="1">
      <c r="B124" s="9" t="s">
        <v>584</v>
      </c>
      <c r="D124" s="67" t="s">
        <v>320</v>
      </c>
      <c r="F124" s="93">
        <f>F118+F123</f>
        <v>1624733.160479</v>
      </c>
      <c r="H124" s="94">
        <f>H118+H123</f>
        <v>1547974.547379</v>
      </c>
      <c r="I124" s="8"/>
    </row>
    <row r="125" spans="2:11" ht="18.75">
      <c r="B125" s="71" t="s">
        <v>585</v>
      </c>
      <c r="C125" s="71"/>
      <c r="D125" s="3"/>
      <c r="E125" s="3"/>
      <c r="F125" s="82"/>
      <c r="G125" s="82"/>
      <c r="H125" s="82"/>
      <c r="I125" s="8"/>
      <c r="J125" s="8"/>
      <c r="K125" s="8"/>
    </row>
    <row r="126" ht="15.75" customHeight="1">
      <c r="I126" s="8"/>
    </row>
    <row r="127" ht="15.75" customHeight="1">
      <c r="I127" s="8"/>
    </row>
    <row r="128" spans="2:9" ht="18" customHeight="1">
      <c r="B128" s="12" t="s">
        <v>114</v>
      </c>
      <c r="F128" s="65">
        <f>F97</f>
        <v>2004</v>
      </c>
      <c r="H128" s="66">
        <f>H97</f>
        <v>2003</v>
      </c>
      <c r="I128" s="8"/>
    </row>
    <row r="129" spans="1:9" ht="18" customHeight="1">
      <c r="A129" s="64" t="s">
        <v>374</v>
      </c>
      <c r="B129" s="9" t="s">
        <v>586</v>
      </c>
      <c r="C129" s="9"/>
      <c r="F129" s="28"/>
      <c r="I129" s="8"/>
    </row>
    <row r="130" spans="2:9" ht="15" customHeight="1">
      <c r="B130" s="12" t="s">
        <v>468</v>
      </c>
      <c r="D130" s="33"/>
      <c r="E130" s="33" t="s">
        <v>320</v>
      </c>
      <c r="F130" s="84">
        <v>1557201.55678</v>
      </c>
      <c r="H130" s="86">
        <v>1510111.25269</v>
      </c>
      <c r="I130" s="8"/>
    </row>
    <row r="131" spans="2:9" ht="15" customHeight="1">
      <c r="B131" s="12"/>
      <c r="D131" s="33"/>
      <c r="E131" s="33"/>
      <c r="F131" s="83"/>
      <c r="H131" s="81"/>
      <c r="I131" s="8"/>
    </row>
    <row r="132" spans="2:9" ht="15" customHeight="1">
      <c r="B132" s="12" t="s">
        <v>469</v>
      </c>
      <c r="D132" s="33"/>
      <c r="E132" s="33" t="s">
        <v>320</v>
      </c>
      <c r="F132" s="28">
        <v>100000</v>
      </c>
      <c r="H132" s="1">
        <v>100000</v>
      </c>
      <c r="I132" s="8"/>
    </row>
    <row r="133" spans="2:9" ht="15" customHeight="1">
      <c r="B133" s="12" t="s">
        <v>470</v>
      </c>
      <c r="D133" s="33"/>
      <c r="E133" s="33" t="s">
        <v>320</v>
      </c>
      <c r="F133" s="84">
        <v>99422.8</v>
      </c>
      <c r="H133" s="88">
        <v>99422.8</v>
      </c>
      <c r="I133" s="8"/>
    </row>
    <row r="134" spans="2:9" ht="15" customHeight="1">
      <c r="B134" s="12" t="s">
        <v>238</v>
      </c>
      <c r="C134" s="33"/>
      <c r="D134" s="33"/>
      <c r="E134" s="33" t="s">
        <v>320</v>
      </c>
      <c r="F134" s="96">
        <v>99.4228</v>
      </c>
      <c r="H134" s="95">
        <v>99.4228</v>
      </c>
      <c r="I134" s="8"/>
    </row>
    <row r="135" spans="2:9" ht="15" customHeight="1">
      <c r="B135" s="12" t="s">
        <v>471</v>
      </c>
      <c r="F135" s="41"/>
      <c r="H135" s="17"/>
      <c r="I135" s="8"/>
    </row>
    <row r="136" spans="2:9" ht="13.5" customHeight="1">
      <c r="B136" s="12" t="s">
        <v>472</v>
      </c>
      <c r="C136" s="33"/>
      <c r="D136" s="33"/>
      <c r="E136" s="33" t="s">
        <v>320</v>
      </c>
      <c r="F136" s="84">
        <f>F130*F134/100</f>
        <v>1548213.3893942656</v>
      </c>
      <c r="H136" s="88">
        <f>H130*H134/100</f>
        <v>1501394.8905394734</v>
      </c>
      <c r="I136" s="8"/>
    </row>
    <row r="137" spans="2:9" ht="15" customHeight="1">
      <c r="B137" s="12" t="s">
        <v>473</v>
      </c>
      <c r="F137" s="83"/>
      <c r="H137" s="81"/>
      <c r="I137" s="8"/>
    </row>
    <row r="138" spans="2:9" ht="13.5" customHeight="1">
      <c r="B138" s="12" t="s">
        <v>239</v>
      </c>
      <c r="C138" s="33"/>
      <c r="D138" s="33"/>
      <c r="E138" s="33" t="s">
        <v>320</v>
      </c>
      <c r="F138" s="84">
        <v>46978.81612</v>
      </c>
      <c r="H138" s="88">
        <v>17879.98824</v>
      </c>
      <c r="I138" s="8"/>
    </row>
    <row r="139" spans="2:9" ht="15" customHeight="1">
      <c r="B139" s="12" t="s">
        <v>474</v>
      </c>
      <c r="F139" s="83"/>
      <c r="H139" s="81"/>
      <c r="I139" s="8"/>
    </row>
    <row r="140" spans="2:9" ht="13.5" customHeight="1">
      <c r="B140" s="12" t="s">
        <v>240</v>
      </c>
      <c r="C140" s="33"/>
      <c r="D140" s="33"/>
      <c r="E140" s="33" t="s">
        <v>320</v>
      </c>
      <c r="F140" s="98">
        <v>1557.20155678</v>
      </c>
      <c r="H140" s="97">
        <f>H130/1000</f>
        <v>1510.11125269</v>
      </c>
      <c r="I140" s="8"/>
    </row>
    <row r="141" spans="6:9" ht="19.5" customHeight="1">
      <c r="F141" s="96"/>
      <c r="H141" s="95"/>
      <c r="I141" s="8"/>
    </row>
    <row r="142" spans="1:9" ht="15.75" customHeight="1">
      <c r="A142" s="64" t="s">
        <v>375</v>
      </c>
      <c r="B142" s="50" t="s">
        <v>44</v>
      </c>
      <c r="C142" s="50"/>
      <c r="F142" s="28"/>
      <c r="I142" s="8"/>
    </row>
    <row r="143" spans="2:9" ht="15.75" customHeight="1">
      <c r="B143" s="12" t="s">
        <v>709</v>
      </c>
      <c r="F143" s="28"/>
      <c r="I143" s="8"/>
    </row>
    <row r="144" spans="2:9" ht="15.75" customHeight="1">
      <c r="B144" s="114" t="s">
        <v>141</v>
      </c>
      <c r="F144" s="28"/>
      <c r="I144" s="8"/>
    </row>
    <row r="145" spans="2:9" ht="15.75" customHeight="1">
      <c r="B145" s="12" t="s">
        <v>140</v>
      </c>
      <c r="F145" s="28"/>
      <c r="I145" s="8"/>
    </row>
    <row r="146" spans="2:9" ht="15.75" customHeight="1">
      <c r="B146" s="12" t="s">
        <v>844</v>
      </c>
      <c r="F146" s="28"/>
      <c r="I146" s="8"/>
    </row>
    <row r="147" spans="2:9" ht="15.75" customHeight="1">
      <c r="B147" s="12" t="s">
        <v>845</v>
      </c>
      <c r="F147" s="28"/>
      <c r="I147" s="8"/>
    </row>
    <row r="148" spans="2:9" ht="15.75" customHeight="1">
      <c r="B148" s="114" t="s">
        <v>142</v>
      </c>
      <c r="F148" s="28"/>
      <c r="I148" s="8"/>
    </row>
    <row r="149" spans="2:9" ht="15.75" customHeight="1">
      <c r="B149" s="114" t="s">
        <v>143</v>
      </c>
      <c r="F149" s="28"/>
      <c r="I149" s="8"/>
    </row>
    <row r="150" spans="2:10" ht="15.75" customHeight="1">
      <c r="B150" s="12" t="s">
        <v>842</v>
      </c>
      <c r="F150" s="28"/>
      <c r="I150" s="8"/>
      <c r="J150" s="72"/>
    </row>
    <row r="151" spans="2:9" ht="15.75" customHeight="1">
      <c r="B151" s="12" t="s">
        <v>843</v>
      </c>
      <c r="F151" s="28"/>
      <c r="I151" s="8"/>
    </row>
    <row r="152" spans="2:9" ht="15.75" customHeight="1">
      <c r="B152" s="12" t="s">
        <v>710</v>
      </c>
      <c r="F152" s="28"/>
      <c r="I152" s="8"/>
    </row>
    <row r="153" spans="2:10" ht="15.75" customHeight="1">
      <c r="B153" s="12" t="s">
        <v>711</v>
      </c>
      <c r="C153" s="33"/>
      <c r="D153" s="33"/>
      <c r="E153" s="33" t="s">
        <v>320</v>
      </c>
      <c r="F153" s="108">
        <v>1583901.63508</v>
      </c>
      <c r="I153" s="8"/>
      <c r="J153" s="19">
        <f>F153*1000</f>
        <v>1583901635.08</v>
      </c>
    </row>
    <row r="154" spans="2:9" ht="15.75" customHeight="1">
      <c r="B154" s="12" t="s">
        <v>475</v>
      </c>
      <c r="F154" s="108"/>
      <c r="I154" s="8"/>
    </row>
    <row r="155" spans="2:9" ht="15.75" customHeight="1">
      <c r="B155" s="12" t="s">
        <v>476</v>
      </c>
      <c r="C155" s="33"/>
      <c r="D155" s="33"/>
      <c r="E155" s="33" t="s">
        <v>320</v>
      </c>
      <c r="F155" s="129">
        <v>8988.16739</v>
      </c>
      <c r="I155" s="8"/>
    </row>
    <row r="156" spans="2:9" ht="15.75" customHeight="1">
      <c r="B156" s="12" t="s">
        <v>712</v>
      </c>
      <c r="F156" s="130"/>
      <c r="I156" s="8"/>
    </row>
    <row r="157" spans="2:9" ht="15.75" customHeight="1">
      <c r="B157" s="12" t="s">
        <v>713</v>
      </c>
      <c r="C157" s="33"/>
      <c r="D157" s="33"/>
      <c r="E157" s="33" t="s">
        <v>320</v>
      </c>
      <c r="F157" s="129">
        <f>F118</f>
        <v>1574913.4384990002</v>
      </c>
      <c r="I157" s="8"/>
    </row>
    <row r="158" spans="6:9" ht="15.75" customHeight="1">
      <c r="F158" s="83"/>
      <c r="I158" s="8"/>
    </row>
    <row r="159" spans="6:9" ht="15.75" customHeight="1">
      <c r="F159" s="73">
        <f>F128</f>
        <v>2004</v>
      </c>
      <c r="H159" s="74">
        <f>H128</f>
        <v>2003</v>
      </c>
      <c r="I159" s="8"/>
    </row>
    <row r="160" spans="6:9" ht="15.75" customHeight="1">
      <c r="F160" s="131"/>
      <c r="G160" s="114"/>
      <c r="H160" s="132"/>
      <c r="I160" s="8"/>
    </row>
    <row r="161" spans="2:11" ht="15.75" customHeight="1">
      <c r="B161" s="12" t="s">
        <v>477</v>
      </c>
      <c r="C161" s="33"/>
      <c r="D161" s="33"/>
      <c r="E161" s="33" t="s">
        <v>320</v>
      </c>
      <c r="F161" s="108">
        <f>H164</f>
        <v>1256354.651</v>
      </c>
      <c r="G161" s="114"/>
      <c r="H161" s="114">
        <f>1509786.931-271580</f>
        <v>1238206.931</v>
      </c>
      <c r="I161" s="8"/>
      <c r="J161" s="19">
        <f>F161*1000</f>
        <v>1256354651</v>
      </c>
      <c r="K161" s="1">
        <f>J161-J163</f>
        <v>185907580.89</v>
      </c>
    </row>
    <row r="162" spans="2:9" ht="15.75" customHeight="1">
      <c r="B162" s="12" t="s">
        <v>478</v>
      </c>
      <c r="C162" s="33"/>
      <c r="D162" s="33"/>
      <c r="E162" s="33" t="s">
        <v>320</v>
      </c>
      <c r="F162" s="108">
        <f>F85</f>
        <v>96690.07923999999</v>
      </c>
      <c r="G162" s="114"/>
      <c r="H162" s="114">
        <v>38032.28</v>
      </c>
      <c r="I162" s="8">
        <f>F162*1000</f>
        <v>96690079.24</v>
      </c>
    </row>
    <row r="163" spans="2:10" ht="15.75" customHeight="1">
      <c r="B163" s="12" t="s">
        <v>479</v>
      </c>
      <c r="D163" s="33"/>
      <c r="E163" s="33" t="s">
        <v>320</v>
      </c>
      <c r="F163" s="129">
        <f>-F90</f>
        <v>-49711.4</v>
      </c>
      <c r="G163" s="114"/>
      <c r="H163" s="133">
        <v>-19884.56</v>
      </c>
      <c r="I163" s="8">
        <f>F163*1000</f>
        <v>-49711400</v>
      </c>
      <c r="J163" s="19">
        <v>1070447070.11</v>
      </c>
    </row>
    <row r="164" spans="2:10" ht="15.75" customHeight="1">
      <c r="B164" s="12" t="s">
        <v>480</v>
      </c>
      <c r="C164" s="33"/>
      <c r="D164" s="33"/>
      <c r="E164" s="33" t="s">
        <v>320</v>
      </c>
      <c r="F164" s="129">
        <f>F161+F162+F163</f>
        <v>1303333.33024</v>
      </c>
      <c r="G164" s="114"/>
      <c r="H164" s="133">
        <f>H161+H162+H163</f>
        <v>1256354.651</v>
      </c>
      <c r="I164" s="8"/>
      <c r="J164" s="19">
        <f>H164*1000</f>
        <v>1256354651</v>
      </c>
    </row>
    <row r="165" spans="6:9" ht="15.75" customHeight="1">
      <c r="F165" s="130"/>
      <c r="G165" s="114"/>
      <c r="H165" s="134"/>
      <c r="I165" s="8"/>
    </row>
    <row r="166" spans="2:9" ht="15.75" customHeight="1">
      <c r="B166" s="12" t="s">
        <v>481</v>
      </c>
      <c r="I166" s="8"/>
    </row>
    <row r="167" spans="2:9" ht="15.75" customHeight="1">
      <c r="B167" s="12" t="s">
        <v>482</v>
      </c>
      <c r="I167" s="8"/>
    </row>
    <row r="168" spans="2:9" ht="15.75" customHeight="1">
      <c r="B168" s="12" t="s">
        <v>483</v>
      </c>
      <c r="I168" s="8"/>
    </row>
    <row r="169" spans="2:11" ht="18.75">
      <c r="B169" s="63" t="s">
        <v>484</v>
      </c>
      <c r="C169" s="8"/>
      <c r="D169" s="8"/>
      <c r="E169" s="8"/>
      <c r="F169" s="17"/>
      <c r="G169" s="8"/>
      <c r="H169" s="17"/>
      <c r="I169" s="8"/>
      <c r="J169" s="8"/>
      <c r="K169" s="8"/>
    </row>
    <row r="170" spans="2:9" ht="15.75" customHeight="1">
      <c r="B170" s="63"/>
      <c r="F170" s="17"/>
      <c r="H170" s="17"/>
      <c r="I170" s="8"/>
    </row>
    <row r="171" spans="6:9" ht="15.75" customHeight="1">
      <c r="F171" s="17"/>
      <c r="H171" s="17"/>
      <c r="I171" s="8"/>
    </row>
    <row r="172" spans="2:9" ht="15" customHeight="1">
      <c r="B172" s="12" t="s">
        <v>114</v>
      </c>
      <c r="F172" s="75">
        <f>F159</f>
        <v>2004</v>
      </c>
      <c r="H172" s="76">
        <f>H159</f>
        <v>2003</v>
      </c>
      <c r="I172" s="8"/>
    </row>
    <row r="173" spans="1:9" ht="15" customHeight="1">
      <c r="A173" s="64" t="s">
        <v>376</v>
      </c>
      <c r="B173" s="9" t="s">
        <v>36</v>
      </c>
      <c r="F173" s="28"/>
      <c r="I173" s="8"/>
    </row>
    <row r="174" spans="2:9" ht="15" customHeight="1">
      <c r="B174" s="9" t="s">
        <v>485</v>
      </c>
      <c r="F174" s="28"/>
      <c r="I174" s="8"/>
    </row>
    <row r="175" spans="2:9" ht="15" customHeight="1">
      <c r="B175" s="12" t="s">
        <v>486</v>
      </c>
      <c r="D175" s="33"/>
      <c r="E175" s="33" t="s">
        <v>320</v>
      </c>
      <c r="F175" s="84">
        <f>F122</f>
        <v>49711.425</v>
      </c>
      <c r="H175" s="86">
        <f>20000*0.994228</f>
        <v>19884.56</v>
      </c>
      <c r="I175" s="8"/>
    </row>
    <row r="176" spans="6:9" ht="15" customHeight="1">
      <c r="F176" s="83"/>
      <c r="H176" s="81"/>
      <c r="I176" s="8"/>
    </row>
    <row r="177" spans="1:9" ht="15" customHeight="1">
      <c r="A177" s="64" t="s">
        <v>377</v>
      </c>
      <c r="B177" s="9" t="s">
        <v>487</v>
      </c>
      <c r="F177" s="28"/>
      <c r="I177" s="8"/>
    </row>
    <row r="178" spans="2:9" ht="13.5" customHeight="1">
      <c r="B178" s="9" t="s">
        <v>488</v>
      </c>
      <c r="F178" s="41"/>
      <c r="H178" s="17"/>
      <c r="I178" s="8"/>
    </row>
    <row r="179" spans="2:9" ht="13.5" customHeight="1">
      <c r="B179" s="9" t="s">
        <v>489</v>
      </c>
      <c r="F179" s="41"/>
      <c r="H179" s="17"/>
      <c r="I179" s="8"/>
    </row>
    <row r="180" spans="2:9" ht="13.5" customHeight="1">
      <c r="B180" s="12" t="s">
        <v>490</v>
      </c>
      <c r="C180" s="33"/>
      <c r="E180" s="33" t="s">
        <v>320</v>
      </c>
      <c r="F180" s="28">
        <f>F66</f>
        <v>735.90321</v>
      </c>
      <c r="H180" s="1">
        <f>H66</f>
        <v>954.7044099999999</v>
      </c>
      <c r="I180" s="8"/>
    </row>
    <row r="181" spans="2:9" ht="13.5" customHeight="1">
      <c r="B181" s="12" t="str">
        <f>B67</f>
        <v>Aðrar inntøkur / Andre indtægter ........................................................................................................................................................</v>
      </c>
      <c r="C181" s="33"/>
      <c r="E181" s="33" t="s">
        <v>320</v>
      </c>
      <c r="F181" s="28">
        <f>F67</f>
        <v>0</v>
      </c>
      <c r="H181" s="13">
        <f>H67</f>
        <v>0</v>
      </c>
      <c r="I181" s="8"/>
    </row>
    <row r="182" spans="2:10" ht="13.5" customHeight="1">
      <c r="B182" s="12" t="s">
        <v>491</v>
      </c>
      <c r="C182" s="33"/>
      <c r="E182" s="33" t="s">
        <v>320</v>
      </c>
      <c r="F182" s="84">
        <f>F71</f>
        <v>-634.5028199999999</v>
      </c>
      <c r="H182" s="86">
        <v>-650.72026</v>
      </c>
      <c r="I182" s="8"/>
      <c r="J182" s="79"/>
    </row>
    <row r="183" spans="6:10" ht="13.5" customHeight="1">
      <c r="F183" s="83">
        <f>F180+F181+F182</f>
        <v>101.40039000000002</v>
      </c>
      <c r="H183" s="87">
        <f>H180+H181+H182</f>
        <v>303.9841499999999</v>
      </c>
      <c r="I183" s="8"/>
      <c r="J183" s="80"/>
    </row>
    <row r="184" spans="2:9" ht="13.5" customHeight="1">
      <c r="B184" s="12" t="s">
        <v>492</v>
      </c>
      <c r="C184" s="33"/>
      <c r="E184" s="33" t="s">
        <v>320</v>
      </c>
      <c r="F184" s="84">
        <f>F76</f>
        <v>88.6</v>
      </c>
      <c r="H184" s="88">
        <v>-3</v>
      </c>
      <c r="I184" s="8"/>
    </row>
    <row r="185" spans="2:9" ht="13.5" customHeight="1">
      <c r="B185" s="12" t="s">
        <v>493</v>
      </c>
      <c r="C185" s="33"/>
      <c r="E185" s="33" t="s">
        <v>320</v>
      </c>
      <c r="F185" s="83">
        <f>F183+F184</f>
        <v>190.00039</v>
      </c>
      <c r="H185" s="81">
        <f>H183+H184</f>
        <v>300.9841499999999</v>
      </c>
      <c r="I185" s="8"/>
    </row>
    <row r="186" spans="2:9" ht="13.5" customHeight="1">
      <c r="B186" s="12" t="s">
        <v>494</v>
      </c>
      <c r="C186" s="33"/>
      <c r="E186" s="33" t="s">
        <v>320</v>
      </c>
      <c r="F186" s="84">
        <f>F81+F82</f>
        <v>-29.82</v>
      </c>
      <c r="H186" s="99">
        <v>-54.26</v>
      </c>
      <c r="I186" s="8"/>
    </row>
    <row r="187" spans="2:9" ht="13.5" customHeight="1">
      <c r="B187" s="12" t="s">
        <v>478</v>
      </c>
      <c r="C187" s="33"/>
      <c r="E187" s="33" t="s">
        <v>320</v>
      </c>
      <c r="F187" s="84">
        <f>F185+F186</f>
        <v>160.18039000000002</v>
      </c>
      <c r="H187" s="88">
        <f>H185+H186</f>
        <v>246.7241499999999</v>
      </c>
      <c r="I187" s="8"/>
    </row>
    <row r="188" spans="2:9" ht="13.5" customHeight="1">
      <c r="B188" s="12"/>
      <c r="C188" s="33"/>
      <c r="E188" s="33"/>
      <c r="F188" s="83"/>
      <c r="H188" s="85"/>
      <c r="I188" s="8"/>
    </row>
    <row r="189" spans="2:9" ht="13.5" customHeight="1">
      <c r="B189" s="12"/>
      <c r="C189" s="33"/>
      <c r="E189" s="33"/>
      <c r="F189" s="13"/>
      <c r="H189" s="12"/>
      <c r="I189" s="8"/>
    </row>
    <row r="190" spans="2:9" ht="13.5" customHeight="1">
      <c r="B190" s="12"/>
      <c r="C190" s="33"/>
      <c r="E190" s="33"/>
      <c r="F190" s="13"/>
      <c r="H190" s="12"/>
      <c r="I190" s="8"/>
    </row>
    <row r="191" spans="2:9" ht="13.5" customHeight="1">
      <c r="B191" s="12"/>
      <c r="C191" s="33"/>
      <c r="E191" s="33"/>
      <c r="F191" s="13"/>
      <c r="H191" s="12"/>
      <c r="I191" s="8"/>
    </row>
    <row r="192" spans="2:9" ht="18.75">
      <c r="B192" s="63" t="s">
        <v>495</v>
      </c>
      <c r="I192" s="8"/>
    </row>
    <row r="193" ht="9.75" customHeight="1">
      <c r="I193" s="8"/>
    </row>
    <row r="194" ht="9.75" customHeight="1">
      <c r="I194" s="8"/>
    </row>
    <row r="195" spans="2:9" ht="12.75">
      <c r="B195" s="12" t="s">
        <v>714</v>
      </c>
      <c r="I195" s="8"/>
    </row>
    <row r="196" spans="2:9" ht="12.75">
      <c r="B196" s="12" t="s">
        <v>496</v>
      </c>
      <c r="I196" s="8"/>
    </row>
    <row r="197" ht="9.75" customHeight="1">
      <c r="I197" s="8"/>
    </row>
    <row r="198" spans="2:9" ht="12.75">
      <c r="B198" s="12" t="s">
        <v>161</v>
      </c>
      <c r="I198" s="8"/>
    </row>
    <row r="199" ht="12.75">
      <c r="I199" s="8"/>
    </row>
    <row r="200" spans="2:9" ht="12.75">
      <c r="B200" s="9" t="s">
        <v>654</v>
      </c>
      <c r="I200" s="8"/>
    </row>
    <row r="201" ht="12.75">
      <c r="I201" s="8"/>
    </row>
    <row r="202" ht="12.75">
      <c r="I202" s="8"/>
    </row>
    <row r="203" ht="12.75">
      <c r="I203" s="8"/>
    </row>
    <row r="204" spans="2:9" ht="12.75">
      <c r="B204" s="12" t="s">
        <v>263</v>
      </c>
      <c r="I204" s="8"/>
    </row>
    <row r="205" spans="2:9" ht="12.75">
      <c r="B205" s="77" t="s">
        <v>497</v>
      </c>
      <c r="I205" s="8"/>
    </row>
    <row r="206" ht="12.75">
      <c r="I206" s="8"/>
    </row>
    <row r="207" ht="12.75">
      <c r="I207" s="8"/>
    </row>
    <row r="208" spans="2:9" ht="12.75">
      <c r="B208" s="12" t="s">
        <v>498</v>
      </c>
      <c r="I208" s="8"/>
    </row>
    <row r="209" ht="12.75">
      <c r="I209" s="8"/>
    </row>
    <row r="210" ht="12.75">
      <c r="I210" s="8"/>
    </row>
    <row r="211" spans="2:8" ht="12.75">
      <c r="B211" s="8"/>
      <c r="C211" s="8"/>
      <c r="D211" s="8"/>
      <c r="E211" s="8"/>
      <c r="F211" s="8"/>
      <c r="G211" s="8"/>
      <c r="H211" s="8"/>
    </row>
    <row r="212" ht="18.75">
      <c r="B212" s="63" t="s">
        <v>499</v>
      </c>
    </row>
    <row r="213" ht="9.75" customHeight="1"/>
    <row r="214" ht="12.75">
      <c r="B214" s="12" t="s">
        <v>51</v>
      </c>
    </row>
    <row r="215" ht="9.75" customHeight="1"/>
    <row r="216" ht="12.75">
      <c r="B216" s="9" t="s">
        <v>656</v>
      </c>
    </row>
    <row r="217" ht="12.75">
      <c r="B217" s="12" t="s">
        <v>95</v>
      </c>
    </row>
    <row r="218" ht="12.75">
      <c r="B218" s="12" t="s">
        <v>96</v>
      </c>
    </row>
    <row r="219" ht="12.75">
      <c r="B219" s="12" t="s">
        <v>500</v>
      </c>
    </row>
    <row r="220" ht="12.75">
      <c r="B220" s="12" t="s">
        <v>501</v>
      </c>
    </row>
    <row r="221" ht="12.75">
      <c r="B221" s="12" t="s">
        <v>502</v>
      </c>
    </row>
    <row r="222" ht="9.75" customHeight="1"/>
    <row r="223" ht="12.75">
      <c r="B223" s="12" t="s">
        <v>97</v>
      </c>
    </row>
    <row r="224" ht="9.75" customHeight="1"/>
    <row r="225" ht="12.75">
      <c r="B225" s="9" t="s">
        <v>98</v>
      </c>
    </row>
    <row r="226" ht="12.75">
      <c r="B226" s="12" t="s">
        <v>619</v>
      </c>
    </row>
    <row r="227" ht="12.75">
      <c r="B227" s="12" t="s">
        <v>620</v>
      </c>
    </row>
    <row r="228" ht="9.75" customHeight="1"/>
    <row r="229" ht="12.75">
      <c r="B229" s="12" t="s">
        <v>144</v>
      </c>
    </row>
    <row r="230" ht="9.75" customHeight="1"/>
    <row r="231" ht="12.75">
      <c r="B231" s="9" t="s">
        <v>102</v>
      </c>
    </row>
    <row r="232" ht="12.75">
      <c r="B232" s="12" t="s">
        <v>103</v>
      </c>
    </row>
    <row r="233" ht="12.75">
      <c r="B233" s="12" t="s">
        <v>605</v>
      </c>
    </row>
    <row r="234" ht="12.75">
      <c r="B234" s="12" t="s">
        <v>606</v>
      </c>
    </row>
    <row r="235" ht="12.75">
      <c r="B235" s="12" t="s">
        <v>607</v>
      </c>
    </row>
    <row r="236" ht="12.75">
      <c r="B236" s="12" t="s">
        <v>608</v>
      </c>
    </row>
    <row r="237" ht="9.75" customHeight="1"/>
    <row r="238" ht="12.75">
      <c r="B238" s="12" t="s">
        <v>108</v>
      </c>
    </row>
    <row r="239" ht="9.75" customHeight="1"/>
    <row r="240" ht="9.75" customHeight="1"/>
    <row r="241" ht="12.75">
      <c r="B241" s="9" t="s">
        <v>109</v>
      </c>
    </row>
    <row r="242" ht="12.75">
      <c r="B242" s="12" t="s">
        <v>609</v>
      </c>
    </row>
    <row r="243" ht="12.75">
      <c r="B243" s="12" t="s">
        <v>610</v>
      </c>
    </row>
    <row r="244" ht="9.75" customHeight="1"/>
    <row r="245" ht="12.75">
      <c r="B245" s="12" t="s">
        <v>161</v>
      </c>
    </row>
    <row r="246" ht="9.75" customHeight="1"/>
    <row r="247" spans="2:8" ht="12.75">
      <c r="B247" s="64" t="s">
        <v>52</v>
      </c>
      <c r="C247" s="25" t="s">
        <v>328</v>
      </c>
      <c r="D247" s="3"/>
      <c r="E247" s="3"/>
      <c r="F247" s="3"/>
      <c r="G247" s="3"/>
      <c r="H247" s="3"/>
    </row>
    <row r="248" spans="2:8" ht="12.75">
      <c r="B248" s="2" t="s">
        <v>112</v>
      </c>
      <c r="C248" s="3" t="s">
        <v>329</v>
      </c>
      <c r="D248" s="3"/>
      <c r="E248" s="3"/>
      <c r="F248" s="3"/>
      <c r="G248" s="3"/>
      <c r="H248" s="3"/>
    </row>
    <row r="249" spans="2:8" ht="9.75" customHeight="1">
      <c r="B249" s="2"/>
      <c r="C249" s="3"/>
      <c r="D249" s="3"/>
      <c r="E249" s="3"/>
      <c r="F249" s="3"/>
      <c r="G249" s="3"/>
      <c r="H249" s="3"/>
    </row>
    <row r="250" ht="9.75" customHeight="1">
      <c r="B250" s="2"/>
    </row>
    <row r="251" spans="2:8" ht="12.75">
      <c r="B251" s="2" t="s">
        <v>840</v>
      </c>
      <c r="C251" s="3" t="s">
        <v>829</v>
      </c>
      <c r="D251" s="3"/>
      <c r="E251" s="3"/>
      <c r="F251" s="3"/>
      <c r="G251" s="3"/>
      <c r="H251" s="3"/>
    </row>
    <row r="252" spans="2:8" ht="12.75">
      <c r="B252" s="2" t="s">
        <v>841</v>
      </c>
      <c r="C252" s="3" t="s">
        <v>830</v>
      </c>
      <c r="D252" s="3"/>
      <c r="E252" s="3"/>
      <c r="F252" s="3"/>
      <c r="G252" s="3"/>
      <c r="H252" s="3"/>
    </row>
    <row r="253" spans="2:3" ht="9.75" customHeight="1">
      <c r="B253" s="2"/>
      <c r="C253" s="12"/>
    </row>
    <row r="254" spans="2:11" ht="19.5" customHeight="1">
      <c r="B254" s="63" t="s">
        <v>611</v>
      </c>
      <c r="C254" s="8"/>
      <c r="D254" s="8"/>
      <c r="E254" s="8"/>
      <c r="F254" s="8"/>
      <c r="G254" s="8"/>
      <c r="H254" s="8"/>
      <c r="I254" s="8"/>
      <c r="J254" s="8"/>
      <c r="K254" s="8"/>
    </row>
    <row r="258" spans="2:8" ht="12.75">
      <c r="B258" s="12" t="s">
        <v>612</v>
      </c>
      <c r="F258" s="66">
        <f>F172</f>
        <v>2004</v>
      </c>
      <c r="H258" s="66">
        <f>H172</f>
        <v>2003</v>
      </c>
    </row>
    <row r="260" spans="2:3" ht="12.75">
      <c r="B260" s="9" t="s">
        <v>613</v>
      </c>
      <c r="C260" s="9"/>
    </row>
    <row r="261" spans="2:8" ht="12.75">
      <c r="B261" s="12" t="s">
        <v>614</v>
      </c>
      <c r="E261" s="33" t="s">
        <v>320</v>
      </c>
      <c r="F261" s="1">
        <v>41791</v>
      </c>
      <c r="H261" s="1">
        <v>41791</v>
      </c>
    </row>
    <row r="262" spans="2:8" ht="12.75">
      <c r="B262" s="12" t="s">
        <v>615</v>
      </c>
      <c r="E262" s="33" t="s">
        <v>320</v>
      </c>
      <c r="F262" s="86">
        <v>0</v>
      </c>
      <c r="H262" s="86">
        <v>0</v>
      </c>
    </row>
    <row r="263" spans="2:8" ht="18" customHeight="1">
      <c r="B263" s="12" t="s">
        <v>616</v>
      </c>
      <c r="E263" s="33" t="s">
        <v>320</v>
      </c>
      <c r="F263" s="88">
        <f>F261+F262</f>
        <v>41791</v>
      </c>
      <c r="H263" s="88">
        <f>H261+H262</f>
        <v>41791</v>
      </c>
    </row>
    <row r="264" spans="2:8" ht="12.75">
      <c r="B264" s="12" t="s">
        <v>617</v>
      </c>
      <c r="E264" s="33" t="s">
        <v>320</v>
      </c>
      <c r="F264" s="81">
        <v>41791</v>
      </c>
      <c r="H264" s="81">
        <v>41791</v>
      </c>
    </row>
    <row r="265" spans="2:8" ht="12.75">
      <c r="B265" s="12" t="s">
        <v>618</v>
      </c>
      <c r="E265" s="33" t="s">
        <v>320</v>
      </c>
      <c r="F265" s="86">
        <v>0</v>
      </c>
      <c r="H265" s="86">
        <v>0</v>
      </c>
    </row>
    <row r="266" spans="2:8" ht="18" customHeight="1">
      <c r="B266" s="12" t="s">
        <v>94</v>
      </c>
      <c r="E266" s="33" t="s">
        <v>320</v>
      </c>
      <c r="F266" s="88">
        <f>F264+F265</f>
        <v>41791</v>
      </c>
      <c r="H266" s="88">
        <f>H264+H265</f>
        <v>41791</v>
      </c>
    </row>
    <row r="267" spans="2:8" ht="18" customHeight="1">
      <c r="B267" s="12" t="s">
        <v>788</v>
      </c>
      <c r="E267" s="33" t="s">
        <v>320</v>
      </c>
      <c r="F267" s="94">
        <f>F263-F266</f>
        <v>0</v>
      </c>
      <c r="H267" s="94">
        <f>H263-H266</f>
        <v>0</v>
      </c>
    </row>
    <row r="268" spans="6:8" ht="24.75" customHeight="1">
      <c r="F268" s="81"/>
      <c r="H268" s="81"/>
    </row>
    <row r="269" spans="2:8" ht="24.75" customHeight="1">
      <c r="B269" s="9" t="s">
        <v>789</v>
      </c>
      <c r="C269" s="3" t="s">
        <v>835</v>
      </c>
      <c r="D269" s="3"/>
      <c r="F269" s="3" t="s">
        <v>834</v>
      </c>
      <c r="G269" s="3"/>
      <c r="H269" s="3"/>
    </row>
    <row r="270" spans="2:8" ht="16.5" customHeight="1">
      <c r="B270" s="12" t="s">
        <v>836</v>
      </c>
      <c r="C270" s="127">
        <v>0</v>
      </c>
      <c r="F270" s="1">
        <v>0</v>
      </c>
      <c r="H270" s="1">
        <v>5970600</v>
      </c>
    </row>
    <row r="271" spans="2:8" ht="16.5" customHeight="1">
      <c r="B271" s="12" t="s">
        <v>139</v>
      </c>
      <c r="C271" s="1">
        <v>6000000</v>
      </c>
      <c r="F271" s="1">
        <v>6000600</v>
      </c>
      <c r="H271" s="1">
        <v>0</v>
      </c>
    </row>
    <row r="272" spans="2:8" ht="16.5" customHeight="1">
      <c r="B272" s="12" t="s">
        <v>837</v>
      </c>
      <c r="C272" s="86">
        <v>4000000</v>
      </c>
      <c r="F272" s="86">
        <v>4050800</v>
      </c>
      <c r="H272" s="86">
        <v>3994000</v>
      </c>
    </row>
    <row r="273" spans="3:8" ht="16.5" customHeight="1">
      <c r="C273" s="94">
        <f>SUM(C270:C272)</f>
        <v>10000000</v>
      </c>
      <c r="F273" s="94">
        <f>SUM(F270:F272)</f>
        <v>10051400</v>
      </c>
      <c r="H273" s="94">
        <f>SUM(H270:H272)</f>
        <v>9964600</v>
      </c>
    </row>
    <row r="274" spans="6:8" ht="24.75" customHeight="1">
      <c r="F274" s="81"/>
      <c r="H274" s="81"/>
    </row>
    <row r="275" ht="13.5" customHeight="1">
      <c r="B275" s="9" t="s">
        <v>790</v>
      </c>
    </row>
    <row r="276" spans="2:8" ht="13.5" customHeight="1">
      <c r="B276" s="12" t="s">
        <v>791</v>
      </c>
      <c r="E276" s="33" t="s">
        <v>320</v>
      </c>
      <c r="F276" s="1">
        <f>67.1+110.18</f>
        <v>177.28</v>
      </c>
      <c r="H276" s="1">
        <f>111.91+64.16</f>
        <v>176.07</v>
      </c>
    </row>
    <row r="277" spans="2:8" ht="13.5" customHeight="1">
      <c r="B277" s="12" t="s">
        <v>792</v>
      </c>
      <c r="E277" s="33" t="s">
        <v>320</v>
      </c>
      <c r="F277" s="1">
        <f>294167.67+178695.14</f>
        <v>472862.81</v>
      </c>
      <c r="H277" s="1">
        <f>744526.22-H276</f>
        <v>744350.15</v>
      </c>
    </row>
    <row r="278" spans="2:8" ht="13.5" customHeight="1">
      <c r="B278" s="12" t="s">
        <v>793</v>
      </c>
      <c r="E278" s="33" t="s">
        <v>320</v>
      </c>
      <c r="F278" s="86">
        <v>263000</v>
      </c>
      <c r="H278" s="86">
        <v>210315.07</v>
      </c>
    </row>
    <row r="279" spans="6:8" ht="15.75" customHeight="1">
      <c r="F279" s="94">
        <f>SUM(F276:F278)</f>
        <v>736040.0900000001</v>
      </c>
      <c r="H279" s="94">
        <f>SUM(H276:H278)</f>
        <v>954841.29</v>
      </c>
    </row>
    <row r="280" spans="6:8" ht="24.75" customHeight="1">
      <c r="F280" s="81"/>
      <c r="H280" s="81"/>
    </row>
    <row r="281" ht="13.5" customHeight="1">
      <c r="B281" s="9" t="s">
        <v>794</v>
      </c>
    </row>
    <row r="282" spans="2:10" ht="13.5" customHeight="1">
      <c r="B282" s="12" t="s">
        <v>795</v>
      </c>
      <c r="E282" s="33" t="s">
        <v>320</v>
      </c>
      <c r="F282" s="1">
        <v>360000</v>
      </c>
      <c r="H282" s="1">
        <v>360000</v>
      </c>
      <c r="J282" s="19"/>
    </row>
    <row r="283" spans="2:8" ht="13.5" customHeight="1">
      <c r="B283" s="12" t="s">
        <v>796</v>
      </c>
      <c r="E283" s="33" t="s">
        <v>320</v>
      </c>
      <c r="F283" s="1">
        <v>60000</v>
      </c>
      <c r="H283" s="1">
        <v>60000</v>
      </c>
    </row>
    <row r="284" spans="2:8" ht="13.5" customHeight="1">
      <c r="B284" s="12" t="s">
        <v>797</v>
      </c>
      <c r="E284" s="33" t="s">
        <v>320</v>
      </c>
      <c r="F284" s="86">
        <v>6780</v>
      </c>
      <c r="H284" s="86">
        <v>5572</v>
      </c>
    </row>
    <row r="285" spans="6:8" ht="13.5" customHeight="1">
      <c r="F285" s="94">
        <f>SUM(F282:F284)</f>
        <v>426780</v>
      </c>
      <c r="H285" s="94">
        <f>SUM(H282:H284)</f>
        <v>425572</v>
      </c>
    </row>
    <row r="286" spans="6:8" ht="24" customHeight="1">
      <c r="F286" s="81"/>
      <c r="H286" s="81"/>
    </row>
    <row r="287" ht="13.5" customHeight="1">
      <c r="B287" s="9" t="s">
        <v>798</v>
      </c>
    </row>
    <row r="288" spans="2:8" ht="13.5" customHeight="1">
      <c r="B288" s="12" t="s">
        <v>799</v>
      </c>
      <c r="E288" s="33" t="s">
        <v>320</v>
      </c>
      <c r="F288" s="1">
        <v>34572.6</v>
      </c>
      <c r="H288" s="1">
        <v>38901.4</v>
      </c>
    </row>
    <row r="289" spans="2:8" ht="13.5" customHeight="1">
      <c r="B289" s="12" t="s">
        <v>800</v>
      </c>
      <c r="E289" s="33" t="s">
        <v>320</v>
      </c>
      <c r="F289" s="1">
        <v>4900</v>
      </c>
      <c r="H289" s="1">
        <v>4750</v>
      </c>
    </row>
    <row r="290" spans="2:8" ht="13.5" customHeight="1">
      <c r="B290" s="12" t="s">
        <v>801</v>
      </c>
      <c r="E290" s="33" t="s">
        <v>320</v>
      </c>
      <c r="F290" s="1">
        <v>14359</v>
      </c>
      <c r="H290" s="1">
        <v>28174.75</v>
      </c>
    </row>
    <row r="291" spans="2:8" ht="13.5" customHeight="1">
      <c r="B291" s="12" t="s">
        <v>802</v>
      </c>
      <c r="E291" s="33" t="s">
        <v>320</v>
      </c>
      <c r="F291" s="1">
        <v>1399</v>
      </c>
      <c r="H291" s="1">
        <v>1152</v>
      </c>
    </row>
    <row r="292" spans="2:8" ht="13.5" customHeight="1">
      <c r="B292" s="12" t="s">
        <v>803</v>
      </c>
      <c r="E292" s="33" t="s">
        <v>320</v>
      </c>
      <c r="F292" s="1">
        <v>75000</v>
      </c>
      <c r="H292" s="1">
        <v>75000</v>
      </c>
    </row>
    <row r="293" ht="13.5" customHeight="1">
      <c r="B293" s="12" t="s">
        <v>804</v>
      </c>
    </row>
    <row r="294" spans="2:8" ht="13.5" customHeight="1">
      <c r="B294" s="12" t="s">
        <v>805</v>
      </c>
      <c r="E294" s="33" t="s">
        <v>320</v>
      </c>
      <c r="F294" s="1">
        <v>0</v>
      </c>
      <c r="H294" s="1">
        <v>15000</v>
      </c>
    </row>
    <row r="295" ht="13.5" customHeight="1">
      <c r="B295" s="12" t="s">
        <v>806</v>
      </c>
    </row>
    <row r="296" spans="2:8" ht="13.5" customHeight="1">
      <c r="B296" s="12" t="s">
        <v>807</v>
      </c>
      <c r="E296" s="33" t="s">
        <v>320</v>
      </c>
      <c r="F296" s="1">
        <v>36000</v>
      </c>
      <c r="H296" s="1">
        <v>36000</v>
      </c>
    </row>
    <row r="297" spans="2:8" ht="13.5" customHeight="1">
      <c r="B297" s="12" t="s">
        <v>808</v>
      </c>
      <c r="E297" s="33" t="s">
        <v>320</v>
      </c>
      <c r="F297" s="1">
        <v>1446.12</v>
      </c>
      <c r="H297" s="1">
        <v>1380.46</v>
      </c>
    </row>
    <row r="298" spans="2:8" ht="13.5" customHeight="1">
      <c r="B298" s="12" t="s">
        <v>809</v>
      </c>
      <c r="E298" s="33" t="s">
        <v>320</v>
      </c>
      <c r="F298" s="1">
        <v>304</v>
      </c>
      <c r="H298" s="1">
        <v>325</v>
      </c>
    </row>
    <row r="299" spans="2:8" ht="13.5" customHeight="1">
      <c r="B299" s="12" t="s">
        <v>810</v>
      </c>
      <c r="E299" s="33" t="s">
        <v>320</v>
      </c>
      <c r="F299" s="1">
        <v>0</v>
      </c>
      <c r="H299" s="1">
        <v>0</v>
      </c>
    </row>
    <row r="300" spans="2:8" ht="13.5" customHeight="1">
      <c r="B300" s="12" t="s">
        <v>811</v>
      </c>
      <c r="E300" s="33" t="s">
        <v>320</v>
      </c>
      <c r="F300" s="1">
        <f>36743+304</f>
        <v>37047</v>
      </c>
      <c r="H300" s="1">
        <f>22325-15000</f>
        <v>7325</v>
      </c>
    </row>
    <row r="301" spans="2:8" ht="13.5" customHeight="1">
      <c r="B301" s="12" t="s">
        <v>812</v>
      </c>
      <c r="E301" s="33" t="s">
        <v>320</v>
      </c>
      <c r="F301" s="1">
        <v>2999.1</v>
      </c>
      <c r="H301" s="1">
        <v>6971.6</v>
      </c>
    </row>
    <row r="302" spans="6:8" ht="15.75" customHeight="1">
      <c r="F302" s="100">
        <f>SUM(F288:F301)</f>
        <v>208026.82</v>
      </c>
      <c r="H302" s="100">
        <f>SUM(H288:H301)</f>
        <v>214980.21</v>
      </c>
    </row>
    <row r="303" spans="6:8" ht="24.75" customHeight="1">
      <c r="F303" s="81"/>
      <c r="H303" s="81"/>
    </row>
    <row r="304" spans="2:11" ht="24.75" customHeight="1">
      <c r="B304" s="63" t="str">
        <f>B254</f>
        <v>Sundurgreinan av innanhýsis ársroknskapi / Specifikationer til internt årsregnskab</v>
      </c>
      <c r="C304" s="8"/>
      <c r="D304" s="8"/>
      <c r="E304" s="8"/>
      <c r="F304" s="8"/>
      <c r="G304" s="8"/>
      <c r="H304" s="8"/>
      <c r="I304" s="8"/>
      <c r="J304" s="8"/>
      <c r="K304" s="8"/>
    </row>
    <row r="305" ht="12.75" customHeight="1"/>
    <row r="306" spans="2:8" ht="12.75" customHeight="1">
      <c r="B306" s="1" t="str">
        <f>B258</f>
        <v>DKK</v>
      </c>
      <c r="F306" s="78">
        <f>F258</f>
        <v>2004</v>
      </c>
      <c r="G306" s="9"/>
      <c r="H306" s="78">
        <f>H258</f>
        <v>2003</v>
      </c>
    </row>
    <row r="307" ht="12.75" customHeight="1"/>
    <row r="308" ht="13.5" customHeight="1">
      <c r="B308" s="9" t="s">
        <v>813</v>
      </c>
    </row>
    <row r="309" ht="13.5" customHeight="1">
      <c r="B309" s="12" t="s">
        <v>53</v>
      </c>
    </row>
    <row r="310" ht="13.5" customHeight="1">
      <c r="B310" s="12" t="s">
        <v>54</v>
      </c>
    </row>
    <row r="311" ht="12" customHeight="1"/>
    <row r="312" spans="2:10" ht="13.5" customHeight="1">
      <c r="B312" s="12" t="s">
        <v>813</v>
      </c>
      <c r="F312" s="1">
        <v>50000000</v>
      </c>
      <c r="H312" s="1">
        <v>20000000</v>
      </c>
      <c r="J312" s="128">
        <f>100-99.4228</f>
        <v>0.5772000000000048</v>
      </c>
    </row>
    <row r="313" ht="12" customHeight="1"/>
    <row r="314" spans="2:8" ht="13.5" customHeight="1">
      <c r="B314" s="12" t="s">
        <v>814</v>
      </c>
      <c r="F314" s="1">
        <f>F312*(1-0.994228)</f>
        <v>288599.99999999994</v>
      </c>
      <c r="H314" s="1">
        <f>H312*(1-0.994228)</f>
        <v>115439.99999999999</v>
      </c>
    </row>
    <row r="315" spans="2:8" ht="13.5" customHeight="1">
      <c r="B315" s="12" t="s">
        <v>815</v>
      </c>
      <c r="F315" s="1">
        <v>77045</v>
      </c>
      <c r="H315" s="1">
        <v>30738</v>
      </c>
    </row>
    <row r="316" spans="2:8" ht="13.5" customHeight="1">
      <c r="B316" s="12" t="s">
        <v>816</v>
      </c>
      <c r="F316" s="101">
        <f>F314-F315</f>
        <v>211554.99999999994</v>
      </c>
      <c r="H316" s="101">
        <f>H314-H315</f>
        <v>84701.99999999999</v>
      </c>
    </row>
    <row r="317" spans="6:8" ht="12" customHeight="1">
      <c r="F317" s="81"/>
      <c r="H317" s="81"/>
    </row>
    <row r="318" spans="2:8" ht="13.5" customHeight="1">
      <c r="B318" s="12" t="s">
        <v>817</v>
      </c>
      <c r="F318" s="86">
        <f>F312-F314</f>
        <v>49711400</v>
      </c>
      <c r="H318" s="86">
        <f>H312-H314</f>
        <v>19884560</v>
      </c>
    </row>
    <row r="319" spans="6:8" ht="19.5" customHeight="1">
      <c r="F319" s="81"/>
      <c r="H319" s="81"/>
    </row>
    <row r="320" ht="12" customHeight="1">
      <c r="B320" s="9" t="s">
        <v>838</v>
      </c>
    </row>
    <row r="321" ht="12" customHeight="1">
      <c r="B321" s="9" t="s">
        <v>839</v>
      </c>
    </row>
    <row r="322" spans="2:8" ht="13.5" customHeight="1">
      <c r="B322" s="12" t="s">
        <v>818</v>
      </c>
      <c r="F322" s="1">
        <v>97090304.09</v>
      </c>
      <c r="H322" s="1">
        <v>37983790.68</v>
      </c>
    </row>
    <row r="323" spans="2:8" ht="13.5" customHeight="1">
      <c r="B323" s="12" t="s">
        <v>819</v>
      </c>
      <c r="F323" s="1">
        <v>50000000</v>
      </c>
      <c r="H323" s="1">
        <v>20000000</v>
      </c>
    </row>
    <row r="324" spans="2:8" ht="13.5" customHeight="1">
      <c r="B324" s="12" t="s">
        <v>820</v>
      </c>
      <c r="F324" s="101">
        <f>F322-F323</f>
        <v>47090304.09</v>
      </c>
      <c r="H324" s="101">
        <f>H322-H323</f>
        <v>17983790.68</v>
      </c>
    </row>
    <row r="325" spans="2:8" ht="18" customHeight="1">
      <c r="B325" s="12" t="s">
        <v>821</v>
      </c>
      <c r="F325" s="85">
        <f>F324*0.994228</f>
        <v>46818498.85479252</v>
      </c>
      <c r="H325" s="85">
        <f>H324*0.994228</f>
        <v>17879988.24019504</v>
      </c>
    </row>
    <row r="326" ht="24" customHeight="1"/>
    <row r="327" ht="13.5" customHeight="1">
      <c r="B327" s="9" t="s">
        <v>822</v>
      </c>
    </row>
    <row r="328" spans="2:8" ht="13.5" customHeight="1">
      <c r="B328" s="12" t="s">
        <v>823</v>
      </c>
      <c r="F328" s="1">
        <v>133753.66</v>
      </c>
      <c r="H328" s="1">
        <v>241937.12</v>
      </c>
    </row>
    <row r="329" spans="2:8" ht="13.5" customHeight="1">
      <c r="B329" s="12" t="s">
        <v>824</v>
      </c>
      <c r="F329" s="1">
        <v>16349281.62</v>
      </c>
      <c r="H329" s="1">
        <v>16217923.91</v>
      </c>
    </row>
    <row r="330" spans="6:8" ht="13.5" customHeight="1">
      <c r="F330" s="100">
        <f>SUM(F328:F329)</f>
        <v>16483035.28</v>
      </c>
      <c r="H330" s="100">
        <f>SUM(H328:H329)</f>
        <v>16459861.03</v>
      </c>
    </row>
    <row r="331" spans="6:8" ht="24" customHeight="1">
      <c r="F331" s="81"/>
      <c r="H331" s="81"/>
    </row>
    <row r="332" ht="13.5" customHeight="1">
      <c r="B332" s="9" t="s">
        <v>825</v>
      </c>
    </row>
    <row r="333" spans="2:8" ht="13.5" customHeight="1">
      <c r="B333" s="12" t="s">
        <v>826</v>
      </c>
      <c r="F333" s="1">
        <v>29820</v>
      </c>
      <c r="H333" s="1">
        <v>64520</v>
      </c>
    </row>
    <row r="334" spans="2:8" ht="13.5" customHeight="1">
      <c r="B334" s="12" t="s">
        <v>827</v>
      </c>
      <c r="F334" s="1">
        <v>75000</v>
      </c>
      <c r="H334" s="1">
        <v>75000</v>
      </c>
    </row>
    <row r="335" spans="2:8" ht="13.5" customHeight="1">
      <c r="B335" s="12" t="s">
        <v>828</v>
      </c>
      <c r="F335" s="1">
        <v>3476.98</v>
      </c>
      <c r="H335" s="1">
        <v>15820</v>
      </c>
    </row>
    <row r="336" spans="6:8" ht="13.5" customHeight="1">
      <c r="F336" s="100">
        <f>SUM(F333:F335)</f>
        <v>108296.98</v>
      </c>
      <c r="H336" s="100">
        <f>SUM(H333:H335)</f>
        <v>155340</v>
      </c>
    </row>
    <row r="337" spans="6:8" ht="30" customHeight="1">
      <c r="F337" s="81"/>
      <c r="H337" s="81"/>
    </row>
  </sheetData>
  <printOptions horizontalCentered="1"/>
  <pageMargins left="0.5118055555555555" right="0.27569444444444446" top="0.5902777777777778" bottom="0.1909722222222222" header="0" footer="0"/>
  <pageSetup firstPageNumber="9" useFirstPageNumber="1" horizontalDpi="600" verticalDpi="600" orientation="portrait" paperSize="9" scale="90" r:id="rId1"/>
  <headerFooter alignWithMargins="0">
    <oddFooter>&amp;R&amp;P</oddFooter>
  </headerFooter>
  <rowBreaks count="14" manualBreakCount="14">
    <brk id="12" max="255" man="1"/>
    <brk id="56" max="7" man="1"/>
    <brk id="92" max="7" man="1"/>
    <brk id="124" min="168" max="253" man="1"/>
    <brk id="124" max="7" man="1"/>
    <brk id="168" max="7" man="1"/>
    <brk id="191" max="7" man="1"/>
    <brk id="253" max="7" man="1"/>
    <brk id="302" min="3" max="3688" man="1"/>
    <brk id="303" max="7" man="1"/>
    <brk id="5428" min="3" max="8991" man="1"/>
    <brk id="3" min="3" max="12369" man="1"/>
    <brk id="15176" min="3" max="18674" man="1"/>
    <brk id="3" min="3" max="199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Malan</cp:lastModifiedBy>
  <cp:lastPrinted>2005-06-23T08:52:31Z</cp:lastPrinted>
  <dcterms:created xsi:type="dcterms:W3CDTF">2004-05-21T10:30:03Z</dcterms:created>
  <dcterms:modified xsi:type="dcterms:W3CDTF">2005-06-23T08:54:33Z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</Properties>
</file>