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2255" windowHeight="6000" activeTab="2"/>
  </bookViews>
  <sheets>
    <sheet name="VEIÐUHAGTØL 1998-2002" sheetId="1" r:id="rId1"/>
    <sheet name="VEIÐA EFTIR FISKASLAG" sheetId="2" r:id="rId2"/>
    <sheet name="VEIÐA EFTIR BÓLKI OG SLAG" sheetId="3" r:id="rId3"/>
  </sheets>
  <definedNames>
    <definedName name="_xlnm.Print_Area" localSheetId="0">'VEIÐUHAGTØL 1998-2002'!$A$1:$I$60</definedName>
  </definedNames>
  <calcPr fullCalcOnLoad="1"/>
</workbook>
</file>

<file path=xl/sharedStrings.xml><?xml version="1.0" encoding="utf-8"?>
<sst xmlns="http://schemas.openxmlformats.org/spreadsheetml/2006/main" count="276" uniqueCount="59">
  <si>
    <t>Fø.veiða veidd í fø. Sjógvið frá 01-09-1997 til 31-08-1998</t>
  </si>
  <si>
    <t>Lemmabátar</t>
  </si>
  <si>
    <t>Partrolarar</t>
  </si>
  <si>
    <t>Línuskip</t>
  </si>
  <si>
    <t>4 útróðarbátar y 15BRT</t>
  </si>
  <si>
    <t>5 Útróðarbátar u 15BRT</t>
  </si>
  <si>
    <t>Garnabátar</t>
  </si>
  <si>
    <t>í alt</t>
  </si>
  <si>
    <t>Tosk</t>
  </si>
  <si>
    <t>Hýsa</t>
  </si>
  <si>
    <t>Upsi</t>
  </si>
  <si>
    <t>Kongaf.</t>
  </si>
  <si>
    <t>Annað</t>
  </si>
  <si>
    <t>Svartkalvi</t>
  </si>
  <si>
    <t>Havtaska</t>
  </si>
  <si>
    <t>Fø.veiða í fø.sjógvið frá 01-09-1998 til 31-08-1999</t>
  </si>
  <si>
    <t>Fø.veiða í fø.sjógvið frá 01-09-1999 til 31-08-2000</t>
  </si>
  <si>
    <t>Fø.veiða í fø.sjógvið frá 01-09-2000 til 31-08-2001</t>
  </si>
  <si>
    <t>Fø. Veiða í fø.sjógvið frá 01-09-2001 til 31-08-2002</t>
  </si>
  <si>
    <t xml:space="preserve"> </t>
  </si>
  <si>
    <t>Føroysk veiða veidd á landgrunninum, fiskidagaárini 1998 - 2002</t>
  </si>
  <si>
    <t>Kongafisk</t>
  </si>
  <si>
    <t>Íalt</t>
  </si>
  <si>
    <t xml:space="preserve">TOSKUR - TONS </t>
  </si>
  <si>
    <t>TOSKUR - PROSENT</t>
  </si>
  <si>
    <t>HÝSA - TONS</t>
  </si>
  <si>
    <t>HÝSA - PROSENT</t>
  </si>
  <si>
    <t>UPSI - TONS</t>
  </si>
  <si>
    <t>UPSI - PROSENT</t>
  </si>
  <si>
    <t>KONGAFISKUR - TONS</t>
  </si>
  <si>
    <t>KONGAFISKUR - PROSENT</t>
  </si>
  <si>
    <t>SVARTKALVI-TONS</t>
  </si>
  <si>
    <t>SVARTKALVI-PROSENT</t>
  </si>
  <si>
    <t xml:space="preserve">  </t>
  </si>
  <si>
    <t>HAVTASKA - TONS</t>
  </si>
  <si>
    <t>HAVTASKA - PROSENT</t>
  </si>
  <si>
    <t>ANNAÐ - TONS</t>
  </si>
  <si>
    <t>ANNAÐ - PROSENT</t>
  </si>
  <si>
    <t>TOTALIR-TONS</t>
  </si>
  <si>
    <t>TOTALIR-PROSENT</t>
  </si>
  <si>
    <t>TONS</t>
  </si>
  <si>
    <t>PROSENT</t>
  </si>
  <si>
    <t>Veiða á landgrunninum fiskiárið 1/9 2003 til 1/6 2004</t>
  </si>
  <si>
    <t>lemmatrolarar</t>
  </si>
  <si>
    <t>partrolarar</t>
  </si>
  <si>
    <t>línuskip</t>
  </si>
  <si>
    <t>4 útróðrarbátar</t>
  </si>
  <si>
    <t>5 útróðrarbátar</t>
  </si>
  <si>
    <t>garnabátar</t>
  </si>
  <si>
    <t>tosk</t>
  </si>
  <si>
    <t>hýsa</t>
  </si>
  <si>
    <t>upsi</t>
  </si>
  <si>
    <t>kongafisk</t>
  </si>
  <si>
    <t>svartkalvi</t>
  </si>
  <si>
    <t>havtaska</t>
  </si>
  <si>
    <t>annað</t>
  </si>
  <si>
    <t>Veiða býtt eftir fiskasløgum, nøgd og % - frá 1997/98-2002/03</t>
  </si>
  <si>
    <t>Fyri fiskiárið 2003/04: 1. Sept. 2003 - 1. Juni 2004</t>
  </si>
  <si>
    <t>SKJAL 2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</si>
</sst>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yyyy"/>
    <numFmt numFmtId="166" formatCode="mmmmm/yy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.25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26" xfId="0" applyNumberForma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17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9" fontId="1" fillId="0" borderId="1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9" xfId="0" applyFont="1" applyBorder="1" applyAlignment="1">
      <alignment/>
    </xf>
    <xf numFmtId="0" fontId="5" fillId="0" borderId="0" xfId="0" applyFont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1" fillId="0" borderId="38" xfId="0" applyFont="1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1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1" fontId="1" fillId="0" borderId="29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0" fillId="0" borderId="40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Veiða á føroyskum øki eftir fiskaslagi 1997/98-2002/03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651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'VEIÐA EFTIR BÓLKI OG SLAG'!$C$7</c:f>
              <c:strCache>
                <c:ptCount val="1"/>
                <c:pt idx="0">
                  <c:v>TOSKUR - TONS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SLAG'!$B$16:$G$16</c:f>
              <c:numCache>
                <c:ptCount val="6"/>
                <c:pt idx="0">
                  <c:v>27051</c:v>
                </c:pt>
                <c:pt idx="1">
                  <c:v>18197</c:v>
                </c:pt>
                <c:pt idx="2">
                  <c:v>16536</c:v>
                </c:pt>
                <c:pt idx="3">
                  <c:v>26614</c:v>
                </c:pt>
                <c:pt idx="4">
                  <c:v>31984</c:v>
                </c:pt>
                <c:pt idx="5">
                  <c:v>35814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'VEIÐA EFTIR BÓLKI OG SLAG'!$C$19</c:f>
              <c:strCache>
                <c:ptCount val="1"/>
                <c:pt idx="0">
                  <c:v>HÝSA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SLAG'!$B$28:$G$28</c:f>
              <c:numCache>
                <c:ptCount val="6"/>
                <c:pt idx="0">
                  <c:v>19864</c:v>
                </c:pt>
                <c:pt idx="1">
                  <c:v>17634</c:v>
                </c:pt>
                <c:pt idx="2">
                  <c:v>13868</c:v>
                </c:pt>
                <c:pt idx="3">
                  <c:v>14050.6</c:v>
                </c:pt>
                <c:pt idx="4">
                  <c:v>17819</c:v>
                </c:pt>
                <c:pt idx="5">
                  <c:v>25392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'VEIÐA EFTIR BÓLKI OG SLAG'!$C$31</c:f>
              <c:strCache>
                <c:ptCount val="1"/>
                <c:pt idx="0">
                  <c:v>UPSI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SLAG'!$B$40:$G$40</c:f>
              <c:numCache>
                <c:ptCount val="6"/>
                <c:pt idx="0">
                  <c:v>22351</c:v>
                </c:pt>
                <c:pt idx="1">
                  <c:v>27420</c:v>
                </c:pt>
                <c:pt idx="2">
                  <c:v>29498</c:v>
                </c:pt>
                <c:pt idx="3">
                  <c:v>36750</c:v>
                </c:pt>
                <c:pt idx="4">
                  <c:v>51745</c:v>
                </c:pt>
                <c:pt idx="5">
                  <c:v>46267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'VEIÐA EFTIR BÓLKI OG SLAG'!$C$42</c:f>
              <c:strCache>
                <c:ptCount val="1"/>
                <c:pt idx="0">
                  <c:v>KONGAFISKUR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SLAG'!$B$51:$G$51</c:f>
              <c:numCache>
                <c:ptCount val="6"/>
                <c:pt idx="0">
                  <c:v>6489</c:v>
                </c:pt>
                <c:pt idx="1">
                  <c:v>6621</c:v>
                </c:pt>
                <c:pt idx="2">
                  <c:v>5413.3</c:v>
                </c:pt>
                <c:pt idx="3">
                  <c:v>5572</c:v>
                </c:pt>
                <c:pt idx="4">
                  <c:v>3773.6</c:v>
                </c:pt>
                <c:pt idx="5">
                  <c:v>3542.3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'VEIÐA EFTIR BÓLKI OG SLAG'!$C$53</c:f>
              <c:strCache>
                <c:ptCount val="1"/>
                <c:pt idx="0">
                  <c:v>SVARTKALVI-TONS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SLAG'!$B$62:$G$62</c:f>
              <c:numCache>
                <c:ptCount val="6"/>
                <c:pt idx="0">
                  <c:v>3327.7</c:v>
                </c:pt>
                <c:pt idx="1">
                  <c:v>3378.3</c:v>
                </c:pt>
                <c:pt idx="2">
                  <c:v>3825</c:v>
                </c:pt>
                <c:pt idx="3">
                  <c:v>3856</c:v>
                </c:pt>
                <c:pt idx="4">
                  <c:v>2342</c:v>
                </c:pt>
                <c:pt idx="5">
                  <c:v>2145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'VEIÐA EFTIR BÓLKI OG SLAG'!$C$64</c:f>
              <c:strCache>
                <c:ptCount val="1"/>
                <c:pt idx="0">
                  <c:v>HAVTASKA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SLAG'!$B$73:$G$73</c:f>
              <c:numCache>
                <c:ptCount val="6"/>
                <c:pt idx="0">
                  <c:v>1772.1</c:v>
                </c:pt>
                <c:pt idx="1">
                  <c:v>1842</c:v>
                </c:pt>
                <c:pt idx="2">
                  <c:v>2094.5</c:v>
                </c:pt>
                <c:pt idx="3">
                  <c:v>2002</c:v>
                </c:pt>
                <c:pt idx="4">
                  <c:v>1927</c:v>
                </c:pt>
                <c:pt idx="5">
                  <c:v>2057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'VEIÐA EFTIR BÓLKI OG SLAG'!$C$75</c:f>
              <c:strCache>
                <c:ptCount val="1"/>
                <c:pt idx="0">
                  <c:v>ANNAÐ - TONS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'VEIÐA EFTIR BÓLKI OG SLAG'!$B$76:$G$76</c:f>
              <c:numCache>
                <c:ptCount val="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</c:numCache>
            </c:numRef>
          </c:cat>
          <c:val>
            <c:numRef>
              <c:f>'VEIÐA EFTIR BÓLKI OG SLAG'!$B$84:$G$84</c:f>
              <c:numCache>
                <c:ptCount val="6"/>
                <c:pt idx="0">
                  <c:v>24374.3</c:v>
                </c:pt>
                <c:pt idx="1">
                  <c:v>18566.699999999997</c:v>
                </c:pt>
                <c:pt idx="2">
                  <c:v>12636.2</c:v>
                </c:pt>
                <c:pt idx="3">
                  <c:v>17239.4</c:v>
                </c:pt>
                <c:pt idx="4">
                  <c:v>19089.4</c:v>
                </c:pt>
                <c:pt idx="5">
                  <c:v>18057</c:v>
                </c:pt>
              </c:numCache>
            </c:numRef>
          </c:val>
          <c:smooth val="0"/>
        </c:ser>
        <c:marker val="1"/>
        <c:axId val="22413432"/>
        <c:axId val="394297"/>
      </c:lineChart>
      <c:dateAx>
        <c:axId val="22413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ÁR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394297"/>
        <c:crosses val="autoZero"/>
        <c:auto val="0"/>
        <c:noMultiLvlLbl val="0"/>
      </c:dateAx>
      <c:valAx>
        <c:axId val="39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13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24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98</xdr:row>
      <xdr:rowOff>133350</xdr:rowOff>
    </xdr:from>
    <xdr:to>
      <xdr:col>10</xdr:col>
      <xdr:colOff>180975</xdr:colOff>
      <xdr:row>121</xdr:row>
      <xdr:rowOff>133350</xdr:rowOff>
    </xdr:to>
    <xdr:graphicFrame>
      <xdr:nvGraphicFramePr>
        <xdr:cNvPr id="1" name="Chart 5"/>
        <xdr:cNvGraphicFramePr/>
      </xdr:nvGraphicFramePr>
      <xdr:xfrm>
        <a:off x="304800" y="16640175"/>
        <a:ext cx="71342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workbookViewId="0" topLeftCell="A1">
      <selection activeCell="I4" sqref="I4"/>
    </sheetView>
  </sheetViews>
  <sheetFormatPr defaultColWidth="9.140625" defaultRowHeight="12.75"/>
  <cols>
    <col min="1" max="1" width="20.7109375" style="0" bestFit="1" customWidth="1"/>
  </cols>
  <sheetData>
    <row r="1" spans="1:9" ht="12.75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7" ht="13.5" thickBot="1">
      <c r="A2" s="1"/>
      <c r="B2" s="1"/>
      <c r="C2" s="1"/>
      <c r="D2" s="1"/>
      <c r="E2" s="1"/>
      <c r="F2" s="1"/>
      <c r="G2" s="1"/>
    </row>
    <row r="3" spans="1:9" ht="13.5" thickBot="1">
      <c r="A3" s="2"/>
      <c r="B3" s="4" t="s">
        <v>8</v>
      </c>
      <c r="C3" s="4" t="s">
        <v>9</v>
      </c>
      <c r="D3" s="4" t="s">
        <v>10</v>
      </c>
      <c r="E3" s="4" t="s">
        <v>11</v>
      </c>
      <c r="F3" s="4" t="s">
        <v>13</v>
      </c>
      <c r="G3" s="4" t="s">
        <v>14</v>
      </c>
      <c r="H3" s="4" t="s">
        <v>12</v>
      </c>
      <c r="I3" s="5" t="s">
        <v>7</v>
      </c>
    </row>
    <row r="4" spans="1:9" ht="12.75">
      <c r="A4" s="3" t="s">
        <v>1</v>
      </c>
      <c r="B4" s="3">
        <v>860</v>
      </c>
      <c r="C4" s="4">
        <v>284</v>
      </c>
      <c r="D4" s="4">
        <v>3675</v>
      </c>
      <c r="E4" s="4">
        <v>5612</v>
      </c>
      <c r="F4" s="4">
        <v>800</v>
      </c>
      <c r="G4" s="4">
        <v>109</v>
      </c>
      <c r="H4" s="4">
        <v>2055</v>
      </c>
      <c r="I4" s="5">
        <f aca="true" t="shared" si="0" ref="I4:I9">SUM(B4:H4)</f>
        <v>13395</v>
      </c>
    </row>
    <row r="5" spans="1:9" ht="12.75">
      <c r="A5" s="6" t="s">
        <v>2</v>
      </c>
      <c r="B5" s="6">
        <v>4564</v>
      </c>
      <c r="C5" s="7">
        <v>3897</v>
      </c>
      <c r="D5" s="7">
        <v>16201</v>
      </c>
      <c r="E5" s="12">
        <v>643</v>
      </c>
      <c r="F5" s="12">
        <v>0.5</v>
      </c>
      <c r="G5" s="12">
        <v>356</v>
      </c>
      <c r="H5" s="12">
        <v>12083.5</v>
      </c>
      <c r="I5" s="8">
        <f t="shared" si="0"/>
        <v>37745</v>
      </c>
    </row>
    <row r="6" spans="1:9" ht="12.75">
      <c r="A6" s="6" t="s">
        <v>3</v>
      </c>
      <c r="B6" s="6">
        <v>8353</v>
      </c>
      <c r="C6" s="7">
        <v>7878</v>
      </c>
      <c r="D6" s="7">
        <v>72</v>
      </c>
      <c r="E6" s="12">
        <v>67</v>
      </c>
      <c r="F6" s="12">
        <v>751</v>
      </c>
      <c r="G6" s="12">
        <v>67</v>
      </c>
      <c r="H6" s="12">
        <v>3410</v>
      </c>
      <c r="I6" s="8">
        <f t="shared" si="0"/>
        <v>20598</v>
      </c>
    </row>
    <row r="7" spans="1:9" ht="12.75">
      <c r="A7" s="6" t="s">
        <v>4</v>
      </c>
      <c r="B7" s="6">
        <v>8207</v>
      </c>
      <c r="C7" s="12">
        <v>4892</v>
      </c>
      <c r="D7" s="12">
        <v>2124</v>
      </c>
      <c r="E7" s="12">
        <v>98</v>
      </c>
      <c r="F7" s="12">
        <v>0.2</v>
      </c>
      <c r="G7" s="12">
        <v>803</v>
      </c>
      <c r="H7" s="12">
        <v>2358.8</v>
      </c>
      <c r="I7" s="8">
        <f t="shared" si="0"/>
        <v>18483</v>
      </c>
    </row>
    <row r="8" spans="1:9" ht="12.75">
      <c r="A8" s="6" t="s">
        <v>5</v>
      </c>
      <c r="B8" s="6">
        <v>4900</v>
      </c>
      <c r="C8" s="12">
        <v>2910</v>
      </c>
      <c r="D8" s="12">
        <v>236</v>
      </c>
      <c r="E8" s="12">
        <v>2</v>
      </c>
      <c r="F8" s="12">
        <v>0</v>
      </c>
      <c r="G8" s="12">
        <v>3.1</v>
      </c>
      <c r="H8" s="12">
        <v>475</v>
      </c>
      <c r="I8" s="8">
        <f t="shared" si="0"/>
        <v>8526.1</v>
      </c>
    </row>
    <row r="9" spans="1:9" ht="12.75">
      <c r="A9" s="6" t="s">
        <v>6</v>
      </c>
      <c r="B9" s="6">
        <v>167</v>
      </c>
      <c r="C9" s="12">
        <v>3</v>
      </c>
      <c r="D9" s="12">
        <v>43</v>
      </c>
      <c r="E9" s="12">
        <v>67</v>
      </c>
      <c r="F9" s="12">
        <v>1776</v>
      </c>
      <c r="G9" s="12">
        <v>434</v>
      </c>
      <c r="H9" s="12">
        <v>3992</v>
      </c>
      <c r="I9" s="8">
        <f t="shared" si="0"/>
        <v>6482</v>
      </c>
    </row>
    <row r="10" spans="1:9" ht="12.75">
      <c r="A10" s="6"/>
      <c r="B10" s="6"/>
      <c r="C10" s="7"/>
      <c r="D10" s="7"/>
      <c r="E10" s="7"/>
      <c r="F10" s="7"/>
      <c r="G10" s="7"/>
      <c r="H10" s="7"/>
      <c r="I10" s="8"/>
    </row>
    <row r="11" spans="1:9" ht="12.75">
      <c r="A11" s="6" t="s">
        <v>7</v>
      </c>
      <c r="B11" s="6">
        <f>SUM(B4:B10)</f>
        <v>27051</v>
      </c>
      <c r="C11" s="7">
        <f aca="true" t="shared" si="1" ref="C11:I11">SUM(C4:C10)</f>
        <v>19864</v>
      </c>
      <c r="D11" s="7">
        <f t="shared" si="1"/>
        <v>22351</v>
      </c>
      <c r="E11" s="7">
        <f t="shared" si="1"/>
        <v>6489</v>
      </c>
      <c r="F11" s="7">
        <f t="shared" si="1"/>
        <v>3327.7</v>
      </c>
      <c r="G11" s="7">
        <f t="shared" si="1"/>
        <v>1772.1</v>
      </c>
      <c r="H11" s="7">
        <f t="shared" si="1"/>
        <v>24374.3</v>
      </c>
      <c r="I11" s="8">
        <f t="shared" si="1"/>
        <v>105229.1</v>
      </c>
    </row>
    <row r="12" spans="1:9" ht="13.5" thickBot="1">
      <c r="A12" s="9"/>
      <c r="B12" s="9"/>
      <c r="C12" s="10"/>
      <c r="D12" s="10"/>
      <c r="E12" s="10"/>
      <c r="F12" s="10"/>
      <c r="G12" s="10"/>
      <c r="H12" s="10"/>
      <c r="I12" s="11"/>
    </row>
    <row r="13" spans="1:9" ht="13.5" thickBot="1">
      <c r="A13" s="79" t="s">
        <v>15</v>
      </c>
      <c r="B13" s="80"/>
      <c r="C13" s="80"/>
      <c r="D13" s="80"/>
      <c r="E13" s="80"/>
      <c r="F13" s="80"/>
      <c r="G13" s="80"/>
      <c r="H13" s="80"/>
      <c r="I13" s="80"/>
    </row>
    <row r="14" spans="1:9" ht="13.5" thickBot="1">
      <c r="A14" s="2"/>
      <c r="B14" s="4" t="s">
        <v>8</v>
      </c>
      <c r="C14" s="4" t="s">
        <v>9</v>
      </c>
      <c r="D14" s="4" t="s">
        <v>10</v>
      </c>
      <c r="E14" s="4" t="s">
        <v>11</v>
      </c>
      <c r="F14" s="4" t="s">
        <v>13</v>
      </c>
      <c r="G14" s="4" t="s">
        <v>14</v>
      </c>
      <c r="H14" s="4" t="s">
        <v>12</v>
      </c>
      <c r="I14" s="5" t="s">
        <v>7</v>
      </c>
    </row>
    <row r="15" spans="1:9" ht="12.75">
      <c r="A15" s="3" t="s">
        <v>1</v>
      </c>
      <c r="B15" s="3">
        <v>1564</v>
      </c>
      <c r="C15" s="4">
        <v>879</v>
      </c>
      <c r="D15" s="4">
        <v>3674</v>
      </c>
      <c r="E15" s="4">
        <v>5816</v>
      </c>
      <c r="F15" s="4">
        <v>1017</v>
      </c>
      <c r="G15" s="4">
        <v>80</v>
      </c>
      <c r="H15" s="4">
        <v>2360</v>
      </c>
      <c r="I15" s="5">
        <f aca="true" t="shared" si="2" ref="I15:I20">SUM(B15:H15)</f>
        <v>15390</v>
      </c>
    </row>
    <row r="16" spans="1:9" ht="12.75">
      <c r="A16" s="6" t="s">
        <v>2</v>
      </c>
      <c r="B16" s="6">
        <v>3354</v>
      </c>
      <c r="C16" s="7">
        <v>3114</v>
      </c>
      <c r="D16" s="7">
        <v>21519</v>
      </c>
      <c r="E16" s="12">
        <v>579</v>
      </c>
      <c r="F16" s="12">
        <v>0.2</v>
      </c>
      <c r="G16" s="12">
        <v>263</v>
      </c>
      <c r="H16" s="12">
        <v>6479.8</v>
      </c>
      <c r="I16" s="8">
        <f t="shared" si="2"/>
        <v>35309</v>
      </c>
    </row>
    <row r="17" spans="1:9" ht="12.75">
      <c r="A17" s="6" t="s">
        <v>3</v>
      </c>
      <c r="B17" s="6">
        <v>4942</v>
      </c>
      <c r="C17" s="7">
        <v>7218</v>
      </c>
      <c r="D17" s="7">
        <v>62</v>
      </c>
      <c r="E17" s="12">
        <v>101</v>
      </c>
      <c r="F17" s="12">
        <v>510</v>
      </c>
      <c r="G17" s="12">
        <v>56</v>
      </c>
      <c r="H17" s="12">
        <v>2789</v>
      </c>
      <c r="I17" s="8">
        <f t="shared" si="2"/>
        <v>15678</v>
      </c>
    </row>
    <row r="18" spans="1:9" ht="12.75">
      <c r="A18" s="6" t="s">
        <v>4</v>
      </c>
      <c r="B18" s="6">
        <v>5270</v>
      </c>
      <c r="C18" s="12">
        <v>4369</v>
      </c>
      <c r="D18" s="12">
        <v>1736</v>
      </c>
      <c r="E18" s="12">
        <v>40</v>
      </c>
      <c r="F18" s="12">
        <v>0.1</v>
      </c>
      <c r="G18" s="12">
        <v>805</v>
      </c>
      <c r="H18" s="12">
        <v>2266.9</v>
      </c>
      <c r="I18" s="8">
        <f t="shared" si="2"/>
        <v>14487</v>
      </c>
    </row>
    <row r="19" spans="1:9" ht="12.75">
      <c r="A19" s="6" t="s">
        <v>5</v>
      </c>
      <c r="B19" s="6">
        <v>2836</v>
      </c>
      <c r="C19" s="12">
        <v>2049</v>
      </c>
      <c r="D19" s="12">
        <v>119</v>
      </c>
      <c r="E19" s="12">
        <v>1</v>
      </c>
      <c r="F19" s="12">
        <v>0</v>
      </c>
      <c r="G19" s="12">
        <v>2</v>
      </c>
      <c r="H19" s="12">
        <v>517</v>
      </c>
      <c r="I19" s="8">
        <f t="shared" si="2"/>
        <v>5524</v>
      </c>
    </row>
    <row r="20" spans="1:9" ht="12.75">
      <c r="A20" s="6" t="s">
        <v>6</v>
      </c>
      <c r="B20" s="6">
        <v>231</v>
      </c>
      <c r="C20" s="12">
        <v>5</v>
      </c>
      <c r="D20" s="12">
        <v>310</v>
      </c>
      <c r="E20" s="12">
        <v>84</v>
      </c>
      <c r="F20" s="12">
        <v>1851</v>
      </c>
      <c r="G20" s="12">
        <v>636</v>
      </c>
      <c r="H20" s="12">
        <v>4154</v>
      </c>
      <c r="I20" s="8">
        <f t="shared" si="2"/>
        <v>7271</v>
      </c>
    </row>
    <row r="21" spans="1:9" ht="12.75">
      <c r="A21" s="6"/>
      <c r="B21" s="6"/>
      <c r="C21" s="7"/>
      <c r="D21" s="7"/>
      <c r="E21" s="7"/>
      <c r="F21" s="7"/>
      <c r="G21" s="7"/>
      <c r="H21" s="7"/>
      <c r="I21" s="8"/>
    </row>
    <row r="22" spans="1:9" ht="12.75">
      <c r="A22" s="6" t="s">
        <v>7</v>
      </c>
      <c r="B22" s="6">
        <f>SUM(B15:B21)</f>
        <v>18197</v>
      </c>
      <c r="C22" s="7">
        <f aca="true" t="shared" si="3" ref="C22:I22">SUM(C15:C21)</f>
        <v>17634</v>
      </c>
      <c r="D22" s="7">
        <f t="shared" si="3"/>
        <v>27420</v>
      </c>
      <c r="E22" s="7">
        <f t="shared" si="3"/>
        <v>6621</v>
      </c>
      <c r="F22" s="7">
        <f t="shared" si="3"/>
        <v>3378.3</v>
      </c>
      <c r="G22" s="7">
        <f t="shared" si="3"/>
        <v>1842</v>
      </c>
      <c r="H22" s="7">
        <f t="shared" si="3"/>
        <v>18566.699999999997</v>
      </c>
      <c r="I22" s="8">
        <f t="shared" si="3"/>
        <v>93659</v>
      </c>
    </row>
    <row r="23" spans="1:9" ht="13.5" thickBot="1">
      <c r="A23" s="9"/>
      <c r="B23" s="9"/>
      <c r="C23" s="10"/>
      <c r="D23" s="10"/>
      <c r="E23" s="10"/>
      <c r="F23" s="10"/>
      <c r="G23" s="10"/>
      <c r="H23" s="10"/>
      <c r="I23" s="11"/>
    </row>
    <row r="24" spans="1:9" ht="13.5" thickBot="1">
      <c r="A24" s="79" t="s">
        <v>16</v>
      </c>
      <c r="B24" s="80"/>
      <c r="C24" s="80"/>
      <c r="D24" s="80"/>
      <c r="E24" s="80"/>
      <c r="F24" s="80"/>
      <c r="G24" s="80"/>
      <c r="H24" s="80"/>
      <c r="I24" s="80"/>
    </row>
    <row r="25" spans="1:9" ht="13.5" thickBot="1">
      <c r="A25" s="2"/>
      <c r="B25" s="4" t="s">
        <v>8</v>
      </c>
      <c r="C25" s="4" t="s">
        <v>9</v>
      </c>
      <c r="D25" s="4" t="s">
        <v>10</v>
      </c>
      <c r="E25" s="4" t="s">
        <v>11</v>
      </c>
      <c r="F25" s="4" t="s">
        <v>13</v>
      </c>
      <c r="G25" s="4" t="s">
        <v>14</v>
      </c>
      <c r="H25" s="4" t="s">
        <v>12</v>
      </c>
      <c r="I25" s="5" t="s">
        <v>7</v>
      </c>
    </row>
    <row r="26" spans="1:9" ht="12.75">
      <c r="A26" s="3" t="s">
        <v>1</v>
      </c>
      <c r="B26" s="3">
        <v>2290</v>
      </c>
      <c r="C26" s="4">
        <v>736</v>
      </c>
      <c r="D26" s="4">
        <v>3647</v>
      </c>
      <c r="E26" s="4">
        <v>4511</v>
      </c>
      <c r="F26" s="4">
        <v>1169</v>
      </c>
      <c r="G26" s="4">
        <v>289</v>
      </c>
      <c r="H26" s="4">
        <v>2039</v>
      </c>
      <c r="I26" s="5">
        <f aca="true" t="shared" si="4" ref="I26:I31">SUM(B26:H26)</f>
        <v>14681</v>
      </c>
    </row>
    <row r="27" spans="1:9" ht="12.75">
      <c r="A27" s="6" t="s">
        <v>2</v>
      </c>
      <c r="B27" s="6">
        <v>3673</v>
      </c>
      <c r="C27" s="7">
        <v>3443</v>
      </c>
      <c r="D27" s="7">
        <v>24085</v>
      </c>
      <c r="E27" s="12">
        <v>709</v>
      </c>
      <c r="F27" s="12">
        <v>21</v>
      </c>
      <c r="G27" s="12">
        <v>245</v>
      </c>
      <c r="H27" s="12">
        <v>4229</v>
      </c>
      <c r="I27" s="8">
        <f t="shared" si="4"/>
        <v>36405</v>
      </c>
    </row>
    <row r="28" spans="1:9" ht="12.75">
      <c r="A28" s="6" t="s">
        <v>3</v>
      </c>
      <c r="B28" s="6">
        <v>2808</v>
      </c>
      <c r="C28" s="7">
        <v>4971</v>
      </c>
      <c r="D28" s="7">
        <v>50</v>
      </c>
      <c r="E28" s="12">
        <v>76</v>
      </c>
      <c r="F28" s="12">
        <v>529</v>
      </c>
      <c r="G28" s="12">
        <v>98</v>
      </c>
      <c r="H28" s="12">
        <v>2302</v>
      </c>
      <c r="I28" s="8">
        <f t="shared" si="4"/>
        <v>10834</v>
      </c>
    </row>
    <row r="29" spans="1:9" ht="12.75">
      <c r="A29" s="6" t="s">
        <v>4</v>
      </c>
      <c r="B29" s="6">
        <v>5338</v>
      </c>
      <c r="C29" s="12">
        <v>3523</v>
      </c>
      <c r="D29" s="12">
        <v>1484</v>
      </c>
      <c r="E29" s="12">
        <v>19</v>
      </c>
      <c r="F29" s="12">
        <v>9</v>
      </c>
      <c r="G29" s="12">
        <v>579</v>
      </c>
      <c r="H29" s="12">
        <v>2383</v>
      </c>
      <c r="I29" s="8">
        <f t="shared" si="4"/>
        <v>13335</v>
      </c>
    </row>
    <row r="30" spans="1:9" ht="12.75">
      <c r="A30" s="6" t="s">
        <v>5</v>
      </c>
      <c r="B30" s="6">
        <v>2136</v>
      </c>
      <c r="C30" s="12">
        <v>1193</v>
      </c>
      <c r="D30" s="12">
        <v>161</v>
      </c>
      <c r="E30" s="12">
        <v>1.3</v>
      </c>
      <c r="F30" s="12">
        <v>0</v>
      </c>
      <c r="G30" s="12">
        <v>3.5</v>
      </c>
      <c r="H30" s="12">
        <v>768.2</v>
      </c>
      <c r="I30" s="8">
        <f t="shared" si="4"/>
        <v>4263</v>
      </c>
    </row>
    <row r="31" spans="1:9" ht="12.75">
      <c r="A31" s="6" t="s">
        <v>6</v>
      </c>
      <c r="B31" s="6">
        <v>291</v>
      </c>
      <c r="C31" s="12">
        <v>2</v>
      </c>
      <c r="D31" s="12">
        <v>71</v>
      </c>
      <c r="E31" s="12">
        <v>97</v>
      </c>
      <c r="F31" s="12">
        <v>2097</v>
      </c>
      <c r="G31" s="12">
        <v>880</v>
      </c>
      <c r="H31" s="12">
        <v>915</v>
      </c>
      <c r="I31" s="8">
        <f t="shared" si="4"/>
        <v>4353</v>
      </c>
    </row>
    <row r="32" spans="1:9" ht="12.75">
      <c r="A32" s="6"/>
      <c r="B32" s="6"/>
      <c r="C32" s="7"/>
      <c r="D32" s="7"/>
      <c r="E32" s="7"/>
      <c r="F32" s="7"/>
      <c r="G32" s="7"/>
      <c r="H32" s="7"/>
      <c r="I32" s="8"/>
    </row>
    <row r="33" spans="1:9" ht="12.75">
      <c r="A33" s="6" t="s">
        <v>7</v>
      </c>
      <c r="B33" s="6">
        <f aca="true" t="shared" si="5" ref="B33:I33">SUM(B26:B32)</f>
        <v>16536</v>
      </c>
      <c r="C33" s="7">
        <f t="shared" si="5"/>
        <v>13868</v>
      </c>
      <c r="D33" s="7">
        <f t="shared" si="5"/>
        <v>29498</v>
      </c>
      <c r="E33" s="7">
        <f t="shared" si="5"/>
        <v>5413.3</v>
      </c>
      <c r="F33" s="7">
        <f t="shared" si="5"/>
        <v>3825</v>
      </c>
      <c r="G33" s="7">
        <f t="shared" si="5"/>
        <v>2094.5</v>
      </c>
      <c r="H33" s="7">
        <f t="shared" si="5"/>
        <v>12636.2</v>
      </c>
      <c r="I33" s="8">
        <f t="shared" si="5"/>
        <v>83871</v>
      </c>
    </row>
    <row r="34" spans="1:9" ht="13.5" thickBot="1">
      <c r="A34" s="9"/>
      <c r="B34" s="9"/>
      <c r="C34" s="10"/>
      <c r="D34" s="10"/>
      <c r="E34" s="10"/>
      <c r="F34" s="10"/>
      <c r="G34" s="10"/>
      <c r="H34" s="10"/>
      <c r="I34" s="11"/>
    </row>
    <row r="35" spans="1:9" ht="13.5" thickBot="1">
      <c r="A35" s="79" t="s">
        <v>17</v>
      </c>
      <c r="B35" s="80"/>
      <c r="C35" s="80"/>
      <c r="D35" s="80"/>
      <c r="E35" s="80"/>
      <c r="F35" s="80"/>
      <c r="G35" s="80"/>
      <c r="H35" s="80"/>
      <c r="I35" s="80"/>
    </row>
    <row r="36" spans="1:9" ht="13.5" thickBot="1">
      <c r="A36" s="2"/>
      <c r="B36" s="4" t="s">
        <v>8</v>
      </c>
      <c r="C36" s="4" t="s">
        <v>9</v>
      </c>
      <c r="D36" s="4" t="s">
        <v>10</v>
      </c>
      <c r="E36" s="4" t="s">
        <v>11</v>
      </c>
      <c r="F36" s="4" t="s">
        <v>13</v>
      </c>
      <c r="G36" s="4" t="s">
        <v>14</v>
      </c>
      <c r="H36" s="4" t="s">
        <v>12</v>
      </c>
      <c r="I36" s="5" t="s">
        <v>7</v>
      </c>
    </row>
    <row r="37" spans="1:9" ht="12.75">
      <c r="A37" s="3" t="s">
        <v>1</v>
      </c>
      <c r="B37" s="3">
        <v>1837</v>
      </c>
      <c r="C37" s="4">
        <v>572</v>
      </c>
      <c r="D37" s="4">
        <v>6746</v>
      </c>
      <c r="E37" s="4">
        <v>4773</v>
      </c>
      <c r="F37" s="4">
        <v>977</v>
      </c>
      <c r="G37" s="4">
        <v>90</v>
      </c>
      <c r="H37" s="4">
        <v>2191</v>
      </c>
      <c r="I37" s="5">
        <f aca="true" t="shared" si="6" ref="I37:I42">SUM(B37:H37)</f>
        <v>17186</v>
      </c>
    </row>
    <row r="38" spans="1:9" ht="12.75">
      <c r="A38" s="6" t="s">
        <v>2</v>
      </c>
      <c r="B38" s="6">
        <v>4862</v>
      </c>
      <c r="C38" s="7">
        <v>2733</v>
      </c>
      <c r="D38" s="7">
        <v>28191</v>
      </c>
      <c r="E38" s="12">
        <v>636</v>
      </c>
      <c r="F38" s="12">
        <v>1</v>
      </c>
      <c r="G38" s="12">
        <v>233</v>
      </c>
      <c r="H38" s="12">
        <v>9609</v>
      </c>
      <c r="I38" s="8">
        <f t="shared" si="6"/>
        <v>46265</v>
      </c>
    </row>
    <row r="39" spans="1:9" ht="12.75">
      <c r="A39" s="6" t="s">
        <v>3</v>
      </c>
      <c r="B39" s="6">
        <v>4010</v>
      </c>
      <c r="C39" s="7">
        <v>4625</v>
      </c>
      <c r="D39" s="7">
        <v>47</v>
      </c>
      <c r="E39" s="12">
        <v>31</v>
      </c>
      <c r="F39" s="12">
        <v>739</v>
      </c>
      <c r="G39" s="12">
        <v>88</v>
      </c>
      <c r="H39" s="12">
        <v>2041</v>
      </c>
      <c r="I39" s="8">
        <f t="shared" si="6"/>
        <v>11581</v>
      </c>
    </row>
    <row r="40" spans="1:9" ht="12.75">
      <c r="A40" s="6" t="s">
        <v>4</v>
      </c>
      <c r="B40" s="6">
        <v>8588</v>
      </c>
      <c r="C40" s="12">
        <v>4297</v>
      </c>
      <c r="D40" s="12">
        <v>1100</v>
      </c>
      <c r="E40" s="12">
        <v>13</v>
      </c>
      <c r="F40" s="12">
        <v>6</v>
      </c>
      <c r="G40" s="12">
        <v>592</v>
      </c>
      <c r="H40" s="12">
        <v>2647</v>
      </c>
      <c r="I40" s="8">
        <f t="shared" si="6"/>
        <v>17243</v>
      </c>
    </row>
    <row r="41" spans="1:9" ht="12.75">
      <c r="A41" s="6" t="s">
        <v>5</v>
      </c>
      <c r="B41" s="6">
        <v>7147</v>
      </c>
      <c r="C41" s="12">
        <v>1823</v>
      </c>
      <c r="D41" s="12">
        <v>492</v>
      </c>
      <c r="E41" s="12">
        <v>4</v>
      </c>
      <c r="F41" s="12">
        <v>0</v>
      </c>
      <c r="G41" s="12">
        <v>17</v>
      </c>
      <c r="H41" s="12">
        <v>549</v>
      </c>
      <c r="I41" s="8">
        <f t="shared" si="6"/>
        <v>10032</v>
      </c>
    </row>
    <row r="42" spans="1:9" ht="12.75">
      <c r="A42" s="6" t="s">
        <v>6</v>
      </c>
      <c r="B42" s="6">
        <v>170</v>
      </c>
      <c r="C42" s="12">
        <v>0.6</v>
      </c>
      <c r="D42" s="12">
        <v>174</v>
      </c>
      <c r="E42" s="12">
        <v>115</v>
      </c>
      <c r="F42" s="12">
        <v>2133</v>
      </c>
      <c r="G42" s="12">
        <v>982</v>
      </c>
      <c r="H42" s="12">
        <v>202.4</v>
      </c>
      <c r="I42" s="8">
        <f t="shared" si="6"/>
        <v>3777</v>
      </c>
    </row>
    <row r="43" spans="1:9" ht="12.75">
      <c r="A43" s="6"/>
      <c r="B43" s="6"/>
      <c r="C43" s="7"/>
      <c r="D43" s="7"/>
      <c r="E43" s="7"/>
      <c r="F43" s="7"/>
      <c r="G43" s="7"/>
      <c r="H43" s="7"/>
      <c r="I43" s="8"/>
    </row>
    <row r="44" spans="1:9" ht="12.75">
      <c r="A44" s="6" t="s">
        <v>7</v>
      </c>
      <c r="B44" s="6">
        <f aca="true" t="shared" si="7" ref="B44:I44">SUM(B37:B43)</f>
        <v>26614</v>
      </c>
      <c r="C44" s="7">
        <f t="shared" si="7"/>
        <v>14050.6</v>
      </c>
      <c r="D44" s="7">
        <f t="shared" si="7"/>
        <v>36750</v>
      </c>
      <c r="E44" s="7">
        <f t="shared" si="7"/>
        <v>5572</v>
      </c>
      <c r="F44" s="7">
        <f t="shared" si="7"/>
        <v>3856</v>
      </c>
      <c r="G44" s="7">
        <f t="shared" si="7"/>
        <v>2002</v>
      </c>
      <c r="H44" s="7">
        <f t="shared" si="7"/>
        <v>17239.4</v>
      </c>
      <c r="I44" s="8">
        <f t="shared" si="7"/>
        <v>106084</v>
      </c>
    </row>
    <row r="45" spans="1:9" ht="13.5" thickBot="1">
      <c r="A45" s="9"/>
      <c r="B45" s="9"/>
      <c r="C45" s="10"/>
      <c r="D45" s="10"/>
      <c r="E45" s="10"/>
      <c r="F45" s="10"/>
      <c r="G45" s="10"/>
      <c r="H45" s="10"/>
      <c r="I45" s="11"/>
    </row>
    <row r="46" spans="1:9" ht="13.5" thickBot="1">
      <c r="A46" s="79" t="s">
        <v>18</v>
      </c>
      <c r="B46" s="80"/>
      <c r="C46" s="80"/>
      <c r="D46" s="80"/>
      <c r="E46" s="80"/>
      <c r="F46" s="80"/>
      <c r="G46" s="80"/>
      <c r="H46" s="80"/>
      <c r="I46" s="80"/>
    </row>
    <row r="47" spans="1:9" ht="13.5" thickBot="1">
      <c r="A47" s="2"/>
      <c r="B47" s="4" t="s">
        <v>8</v>
      </c>
      <c r="C47" s="4" t="s">
        <v>9</v>
      </c>
      <c r="D47" s="4" t="s">
        <v>10</v>
      </c>
      <c r="E47" s="4" t="s">
        <v>11</v>
      </c>
      <c r="F47" s="4" t="s">
        <v>13</v>
      </c>
      <c r="G47" s="4" t="s">
        <v>14</v>
      </c>
      <c r="H47" s="4" t="s">
        <v>12</v>
      </c>
      <c r="I47" s="5" t="s">
        <v>7</v>
      </c>
    </row>
    <row r="48" spans="1:9" ht="12.75">
      <c r="A48" s="3" t="s">
        <v>1</v>
      </c>
      <c r="B48" s="3">
        <v>1640</v>
      </c>
      <c r="C48" s="4">
        <v>1594</v>
      </c>
      <c r="D48" s="4">
        <v>11783</v>
      </c>
      <c r="E48" s="4">
        <v>3143</v>
      </c>
      <c r="F48" s="4">
        <v>474</v>
      </c>
      <c r="G48" s="4">
        <v>66</v>
      </c>
      <c r="H48" s="4">
        <v>2663</v>
      </c>
      <c r="I48" s="5">
        <f aca="true" t="shared" si="8" ref="I48:I53">SUM(B48:H48)</f>
        <v>21363</v>
      </c>
    </row>
    <row r="49" spans="1:9" ht="12.75">
      <c r="A49" s="6" t="s">
        <v>2</v>
      </c>
      <c r="B49" s="6">
        <v>4054</v>
      </c>
      <c r="C49" s="7">
        <v>2934</v>
      </c>
      <c r="D49" s="7">
        <v>38596</v>
      </c>
      <c r="E49" s="12">
        <v>472</v>
      </c>
      <c r="F49" s="12">
        <v>1</v>
      </c>
      <c r="G49" s="12">
        <v>186</v>
      </c>
      <c r="H49" s="12">
        <v>10695</v>
      </c>
      <c r="I49" s="8">
        <f t="shared" si="8"/>
        <v>56938</v>
      </c>
    </row>
    <row r="50" spans="1:9" ht="12.75">
      <c r="A50" s="6" t="s">
        <v>3</v>
      </c>
      <c r="B50" s="6">
        <v>6699</v>
      </c>
      <c r="C50" s="7">
        <v>5903</v>
      </c>
      <c r="D50" s="7">
        <v>62</v>
      </c>
      <c r="E50" s="12">
        <v>45</v>
      </c>
      <c r="F50" s="12">
        <v>380</v>
      </c>
      <c r="G50" s="12">
        <v>149</v>
      </c>
      <c r="H50" s="12">
        <v>2085</v>
      </c>
      <c r="I50" s="8">
        <f t="shared" si="8"/>
        <v>15323</v>
      </c>
    </row>
    <row r="51" spans="1:9" ht="12.75">
      <c r="A51" s="6" t="s">
        <v>4</v>
      </c>
      <c r="B51" s="6">
        <v>12105</v>
      </c>
      <c r="C51" s="12">
        <v>5327</v>
      </c>
      <c r="D51" s="12">
        <v>1063</v>
      </c>
      <c r="E51" s="12">
        <v>19</v>
      </c>
      <c r="F51" s="12">
        <v>1</v>
      </c>
      <c r="G51" s="12">
        <v>691</v>
      </c>
      <c r="H51" s="12">
        <v>2968</v>
      </c>
      <c r="I51" s="8">
        <f t="shared" si="8"/>
        <v>22174</v>
      </c>
    </row>
    <row r="52" spans="1:9" ht="12.75">
      <c r="A52" s="6" t="s">
        <v>5</v>
      </c>
      <c r="B52" s="6">
        <v>7359</v>
      </c>
      <c r="C52" s="12">
        <v>2061</v>
      </c>
      <c r="D52" s="12">
        <v>232</v>
      </c>
      <c r="E52" s="12">
        <v>0.6</v>
      </c>
      <c r="F52" s="12">
        <v>0</v>
      </c>
      <c r="G52" s="12">
        <v>4</v>
      </c>
      <c r="H52" s="12">
        <v>461.4</v>
      </c>
      <c r="I52" s="8">
        <f t="shared" si="8"/>
        <v>10118</v>
      </c>
    </row>
    <row r="53" spans="1:9" ht="12.75">
      <c r="A53" s="6" t="s">
        <v>6</v>
      </c>
      <c r="B53" s="6">
        <v>127</v>
      </c>
      <c r="C53" s="12">
        <v>0</v>
      </c>
      <c r="D53" s="12">
        <v>9</v>
      </c>
      <c r="E53" s="12">
        <v>94</v>
      </c>
      <c r="F53" s="12">
        <v>1486</v>
      </c>
      <c r="G53" s="12">
        <v>831</v>
      </c>
      <c r="H53" s="12">
        <v>217</v>
      </c>
      <c r="I53" s="8">
        <f t="shared" si="8"/>
        <v>2764</v>
      </c>
    </row>
    <row r="54" spans="1:9" ht="12.75">
      <c r="A54" s="6"/>
      <c r="B54" s="6"/>
      <c r="C54" s="7"/>
      <c r="D54" s="7"/>
      <c r="E54" s="7"/>
      <c r="F54" s="7"/>
      <c r="G54" s="7"/>
      <c r="H54" s="7"/>
      <c r="I54" s="8"/>
    </row>
    <row r="55" spans="1:9" ht="12.75">
      <c r="A55" s="6" t="s">
        <v>7</v>
      </c>
      <c r="B55" s="6">
        <f aca="true" t="shared" si="9" ref="B55:I55">SUM(B48:B54)</f>
        <v>31984</v>
      </c>
      <c r="C55" s="7">
        <f t="shared" si="9"/>
        <v>17819</v>
      </c>
      <c r="D55" s="7">
        <f t="shared" si="9"/>
        <v>51745</v>
      </c>
      <c r="E55" s="7">
        <f t="shared" si="9"/>
        <v>3773.6</v>
      </c>
      <c r="F55" s="7">
        <f t="shared" si="9"/>
        <v>2342</v>
      </c>
      <c r="G55" s="7">
        <f t="shared" si="9"/>
        <v>1927</v>
      </c>
      <c r="H55" s="7">
        <f t="shared" si="9"/>
        <v>19089.4</v>
      </c>
      <c r="I55" s="8">
        <f t="shared" si="9"/>
        <v>128680</v>
      </c>
    </row>
    <row r="56" spans="1:9" ht="13.5" thickBot="1">
      <c r="A56" s="9"/>
      <c r="B56" s="9"/>
      <c r="C56" s="10"/>
      <c r="D56" s="10"/>
      <c r="E56" s="10"/>
      <c r="F56" s="10"/>
      <c r="G56" s="10"/>
      <c r="H56" s="10"/>
      <c r="I56" s="11"/>
    </row>
  </sheetData>
  <mergeCells count="5">
    <mergeCell ref="A46:I46"/>
    <mergeCell ref="A13:I13"/>
    <mergeCell ref="A1:I1"/>
    <mergeCell ref="A24:I24"/>
    <mergeCell ref="A35:I35"/>
  </mergeCells>
  <printOptions gridLines="1"/>
  <pageMargins left="0.75" right="0.75" top="1" bottom="1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3">
      <selection activeCell="K14" sqref="K14"/>
    </sheetView>
  </sheetViews>
  <sheetFormatPr defaultColWidth="9.140625" defaultRowHeight="12.75"/>
  <cols>
    <col min="1" max="1" width="13.8515625" style="0" customWidth="1"/>
  </cols>
  <sheetData>
    <row r="2" ht="15.75">
      <c r="A2" s="13" t="s">
        <v>20</v>
      </c>
    </row>
    <row r="3" ht="13.5" thickBot="1">
      <c r="D3" s="14" t="s">
        <v>40</v>
      </c>
    </row>
    <row r="4" spans="1:7" ht="13.5" thickBot="1">
      <c r="A4" s="19"/>
      <c r="B4" s="23">
        <v>1998</v>
      </c>
      <c r="C4" s="24">
        <v>1999</v>
      </c>
      <c r="D4" s="24">
        <v>2000</v>
      </c>
      <c r="E4" s="24">
        <v>2001</v>
      </c>
      <c r="F4" s="25">
        <v>2002</v>
      </c>
      <c r="G4" s="14"/>
    </row>
    <row r="5" spans="1:7" ht="12.75">
      <c r="A5" s="20"/>
      <c r="B5" s="18"/>
      <c r="C5" s="17"/>
      <c r="D5" s="17"/>
      <c r="E5" s="17"/>
      <c r="F5" s="17"/>
      <c r="G5" s="14"/>
    </row>
    <row r="6" spans="1:6" ht="12.75">
      <c r="A6" s="21" t="s">
        <v>8</v>
      </c>
      <c r="B6" s="42">
        <v>27051</v>
      </c>
      <c r="C6" s="37">
        <v>18197</v>
      </c>
      <c r="D6" s="37">
        <v>16536</v>
      </c>
      <c r="E6" s="37">
        <v>26614</v>
      </c>
      <c r="F6" s="37">
        <v>31984</v>
      </c>
    </row>
    <row r="7" spans="1:6" ht="12.75">
      <c r="A7" s="21" t="s">
        <v>9</v>
      </c>
      <c r="B7" s="42">
        <v>19864</v>
      </c>
      <c r="C7" s="37">
        <v>17634</v>
      </c>
      <c r="D7" s="37">
        <v>13868</v>
      </c>
      <c r="E7" s="37">
        <v>14059.6</v>
      </c>
      <c r="F7" s="37">
        <v>17819</v>
      </c>
    </row>
    <row r="8" spans="1:6" ht="12.75">
      <c r="A8" s="21" t="s">
        <v>10</v>
      </c>
      <c r="B8" s="42">
        <v>22351</v>
      </c>
      <c r="C8" s="37">
        <v>27420</v>
      </c>
      <c r="D8" s="37">
        <v>29498</v>
      </c>
      <c r="E8" s="37">
        <v>36750</v>
      </c>
      <c r="F8" s="37">
        <v>51745</v>
      </c>
    </row>
    <row r="9" spans="1:6" ht="12.75">
      <c r="A9" s="21" t="s">
        <v>21</v>
      </c>
      <c r="B9" s="42">
        <v>6489</v>
      </c>
      <c r="C9" s="37">
        <v>6621</v>
      </c>
      <c r="D9" s="37">
        <v>5413.3</v>
      </c>
      <c r="E9" s="37">
        <v>5572</v>
      </c>
      <c r="F9" s="37">
        <v>3773.6</v>
      </c>
    </row>
    <row r="10" spans="1:6" ht="12.75">
      <c r="A10" s="21" t="s">
        <v>13</v>
      </c>
      <c r="B10" s="42">
        <v>3327.7</v>
      </c>
      <c r="C10" s="37">
        <v>3378.3</v>
      </c>
      <c r="D10" s="37">
        <v>3825</v>
      </c>
      <c r="E10" s="37">
        <v>3856</v>
      </c>
      <c r="F10" s="37">
        <v>2342</v>
      </c>
    </row>
    <row r="11" spans="1:6" ht="12.75">
      <c r="A11" s="21" t="s">
        <v>14</v>
      </c>
      <c r="B11" s="42">
        <v>1772.1</v>
      </c>
      <c r="C11" s="37">
        <v>1842</v>
      </c>
      <c r="D11" s="37">
        <v>2094.5</v>
      </c>
      <c r="E11" s="37">
        <v>2002</v>
      </c>
      <c r="F11" s="37">
        <v>1927</v>
      </c>
    </row>
    <row r="12" spans="1:6" ht="12.75">
      <c r="A12" s="21" t="s">
        <v>12</v>
      </c>
      <c r="B12" s="42">
        <v>24374.3</v>
      </c>
      <c r="C12" s="37">
        <v>18566.7</v>
      </c>
      <c r="D12" s="37">
        <v>12636.2</v>
      </c>
      <c r="E12" s="37">
        <v>17239.4</v>
      </c>
      <c r="F12" s="37">
        <v>19089.4</v>
      </c>
    </row>
    <row r="13" spans="1:6" ht="13.5" thickBot="1">
      <c r="A13" s="21"/>
      <c r="B13" s="43"/>
      <c r="C13" s="44"/>
      <c r="D13" s="44"/>
      <c r="E13" s="44"/>
      <c r="F13" s="44"/>
    </row>
    <row r="14" spans="1:6" ht="13.5" thickBot="1">
      <c r="A14" s="22" t="s">
        <v>22</v>
      </c>
      <c r="B14" s="45">
        <f>SUM(B6:B12)</f>
        <v>105229.1</v>
      </c>
      <c r="C14" s="46">
        <f>SUM(C6:C12)</f>
        <v>93659</v>
      </c>
      <c r="D14" s="46">
        <f>SUM(D6:D12)</f>
        <v>83871</v>
      </c>
      <c r="E14" s="46">
        <f>SUM(E6:E12)</f>
        <v>106093</v>
      </c>
      <c r="F14" s="47">
        <f>SUM(F6:F12)</f>
        <v>128680</v>
      </c>
    </row>
    <row r="15" ht="12.75">
      <c r="B15" t="s">
        <v>19</v>
      </c>
    </row>
    <row r="16" ht="13.5" thickBot="1">
      <c r="D16" s="14" t="s">
        <v>41</v>
      </c>
    </row>
    <row r="17" spans="1:6" ht="13.5" thickBot="1">
      <c r="A17" s="19"/>
      <c r="B17" s="29">
        <v>1998</v>
      </c>
      <c r="C17" s="30">
        <v>1999</v>
      </c>
      <c r="D17" s="30">
        <v>2000</v>
      </c>
      <c r="E17" s="30">
        <v>2001</v>
      </c>
      <c r="F17" s="31">
        <v>2002</v>
      </c>
    </row>
    <row r="18" spans="1:6" ht="12.75">
      <c r="A18" s="26"/>
      <c r="B18" s="32" t="s">
        <v>19</v>
      </c>
      <c r="C18" s="15"/>
      <c r="D18" s="15"/>
      <c r="E18" s="15"/>
      <c r="F18" s="15"/>
    </row>
    <row r="19" spans="1:6" ht="12.75">
      <c r="A19" s="27" t="s">
        <v>8</v>
      </c>
      <c r="B19" s="32">
        <f aca="true" t="shared" si="0" ref="B19:B25">B6/$B$14</f>
        <v>0.2570676742460023</v>
      </c>
      <c r="C19" s="32">
        <f>C6/$C$14</f>
        <v>0.19428992408631313</v>
      </c>
      <c r="D19" s="32">
        <f>D6/$D$14</f>
        <v>0.19715992416925993</v>
      </c>
      <c r="E19" s="32">
        <f>E6/$E$14</f>
        <v>0.250855381599163</v>
      </c>
      <c r="F19" s="32">
        <f>F6/$F$14</f>
        <v>0.248554553932235</v>
      </c>
    </row>
    <row r="20" spans="1:6" ht="12.75">
      <c r="A20" s="27" t="s">
        <v>9</v>
      </c>
      <c r="B20" s="32">
        <f t="shared" si="0"/>
        <v>0.1887690762346157</v>
      </c>
      <c r="C20" s="32">
        <f aca="true" t="shared" si="1" ref="C20:C25">C7/$C$14</f>
        <v>0.18827875591240564</v>
      </c>
      <c r="D20" s="32">
        <f aca="true" t="shared" si="2" ref="D20:D25">D7/$D$14</f>
        <v>0.16534916717339723</v>
      </c>
      <c r="E20" s="32">
        <f aca="true" t="shared" si="3" ref="E20:E25">E7/$E$14</f>
        <v>0.13252146701478892</v>
      </c>
      <c r="F20" s="32">
        <f aca="true" t="shared" si="4" ref="F20:F25">F7/$F$14</f>
        <v>0.13847528753497046</v>
      </c>
    </row>
    <row r="21" spans="1:6" ht="12.75">
      <c r="A21" s="27" t="s">
        <v>10</v>
      </c>
      <c r="B21" s="32">
        <f t="shared" si="0"/>
        <v>0.21240322306282197</v>
      </c>
      <c r="C21" s="32">
        <f t="shared" si="1"/>
        <v>0.29276417642725205</v>
      </c>
      <c r="D21" s="32">
        <f t="shared" si="2"/>
        <v>0.35170678780508163</v>
      </c>
      <c r="E21" s="32">
        <f t="shared" si="3"/>
        <v>0.34639420131394155</v>
      </c>
      <c r="F21" s="32">
        <f t="shared" si="4"/>
        <v>0.40212154180913895</v>
      </c>
    </row>
    <row r="22" spans="1:6" ht="12.75">
      <c r="A22" s="27" t="s">
        <v>21</v>
      </c>
      <c r="B22" s="32">
        <f t="shared" si="0"/>
        <v>0.061665451856948314</v>
      </c>
      <c r="C22" s="32">
        <f t="shared" si="1"/>
        <v>0.07069261896881239</v>
      </c>
      <c r="D22" s="32">
        <f t="shared" si="2"/>
        <v>0.06454316748339713</v>
      </c>
      <c r="E22" s="32">
        <f t="shared" si="3"/>
        <v>0.05251995890398047</v>
      </c>
      <c r="F22" s="32">
        <f t="shared" si="4"/>
        <v>0.029325458501709666</v>
      </c>
    </row>
    <row r="23" spans="1:6" ht="12.75">
      <c r="A23" s="27" t="s">
        <v>13</v>
      </c>
      <c r="B23" s="32">
        <f t="shared" si="0"/>
        <v>0.031623381745163645</v>
      </c>
      <c r="C23" s="32">
        <f t="shared" si="1"/>
        <v>0.03607021215259612</v>
      </c>
      <c r="D23" s="32">
        <f t="shared" si="2"/>
        <v>0.0456057516900955</v>
      </c>
      <c r="E23" s="32">
        <f t="shared" si="3"/>
        <v>0.03634547048344377</v>
      </c>
      <c r="F23" s="32">
        <f t="shared" si="4"/>
        <v>0.018200186509170033</v>
      </c>
    </row>
    <row r="24" spans="1:6" ht="12.75">
      <c r="A24" s="27" t="s">
        <v>14</v>
      </c>
      <c r="B24" s="32">
        <f t="shared" si="0"/>
        <v>0.016840398711002943</v>
      </c>
      <c r="C24" s="32">
        <f t="shared" si="1"/>
        <v>0.01966709018887667</v>
      </c>
      <c r="D24" s="32">
        <f t="shared" si="2"/>
        <v>0.024972875010432688</v>
      </c>
      <c r="E24" s="32">
        <f t="shared" si="3"/>
        <v>0.01887023649062615</v>
      </c>
      <c r="F24" s="32">
        <f t="shared" si="4"/>
        <v>0.014975132110662108</v>
      </c>
    </row>
    <row r="25" spans="1:6" ht="12.75">
      <c r="A25" s="27" t="s">
        <v>12</v>
      </c>
      <c r="B25" s="32">
        <f t="shared" si="0"/>
        <v>0.2316307941434451</v>
      </c>
      <c r="C25" s="32">
        <f t="shared" si="1"/>
        <v>0.19823722226374402</v>
      </c>
      <c r="D25" s="32">
        <f t="shared" si="2"/>
        <v>0.1506623266683359</v>
      </c>
      <c r="E25" s="32">
        <f t="shared" si="3"/>
        <v>0.16249328419405618</v>
      </c>
      <c r="F25" s="32">
        <f t="shared" si="4"/>
        <v>0.14834783960211378</v>
      </c>
    </row>
    <row r="26" spans="1:6" ht="13.5" thickBot="1">
      <c r="A26" s="27"/>
      <c r="B26" s="33" t="s">
        <v>19</v>
      </c>
      <c r="C26" s="33" t="s">
        <v>19</v>
      </c>
      <c r="D26" s="33" t="s">
        <v>19</v>
      </c>
      <c r="E26" s="33" t="s">
        <v>19</v>
      </c>
      <c r="F26" s="33" t="s">
        <v>19</v>
      </c>
    </row>
    <row r="27" spans="1:6" ht="13.5" thickBot="1">
      <c r="A27" s="28" t="s">
        <v>22</v>
      </c>
      <c r="B27" s="48">
        <f>SUM(B19:B25)</f>
        <v>1</v>
      </c>
      <c r="C27" s="49">
        <f>SUM(C19:C25)</f>
        <v>1</v>
      </c>
      <c r="D27" s="49">
        <f>SUM(D19:D25)</f>
        <v>1</v>
      </c>
      <c r="E27" s="49">
        <f>SUM(E19:E25)</f>
        <v>1</v>
      </c>
      <c r="F27" s="50">
        <f>SUM(F19:F25)</f>
        <v>1</v>
      </c>
    </row>
    <row r="31" spans="1:5" ht="18">
      <c r="A31" s="56" t="s">
        <v>42</v>
      </c>
      <c r="B31" s="56"/>
      <c r="C31" s="56"/>
      <c r="D31" s="56"/>
      <c r="E31" s="56"/>
    </row>
    <row r="32" spans="1:5" ht="18">
      <c r="A32" s="56"/>
      <c r="B32" s="56"/>
      <c r="C32" s="56"/>
      <c r="D32" s="56"/>
      <c r="E32" s="56"/>
    </row>
    <row r="33" spans="1:9" ht="12.75">
      <c r="A33" s="16"/>
      <c r="B33" s="57" t="s">
        <v>49</v>
      </c>
      <c r="C33" s="57" t="s">
        <v>50</v>
      </c>
      <c r="D33" s="57" t="s">
        <v>51</v>
      </c>
      <c r="E33" s="57" t="s">
        <v>52</v>
      </c>
      <c r="F33" s="57" t="s">
        <v>53</v>
      </c>
      <c r="G33" s="57" t="s">
        <v>54</v>
      </c>
      <c r="H33" s="57" t="s">
        <v>55</v>
      </c>
      <c r="I33" s="58" t="s">
        <v>7</v>
      </c>
    </row>
    <row r="34" spans="1:9" ht="12.75">
      <c r="A34" s="62" t="s">
        <v>43</v>
      </c>
      <c r="B34" s="63">
        <f>(451+3909)</f>
        <v>4360</v>
      </c>
      <c r="C34" s="64">
        <f>38+182</f>
        <v>220</v>
      </c>
      <c r="D34" s="64">
        <f>1400+2383</f>
        <v>3783</v>
      </c>
      <c r="E34" s="64">
        <f>1206+768</f>
        <v>1974</v>
      </c>
      <c r="F34" s="64">
        <f>113+192</f>
        <v>305</v>
      </c>
      <c r="G34" s="64">
        <v>44</v>
      </c>
      <c r="H34" s="64">
        <f>1037+1517</f>
        <v>2554</v>
      </c>
      <c r="I34" s="68">
        <f aca="true" t="shared" si="5" ref="I34:I39">SUM(B34:H34)</f>
        <v>13240</v>
      </c>
    </row>
    <row r="35" spans="1:9" ht="12.75">
      <c r="A35" s="62" t="s">
        <v>44</v>
      </c>
      <c r="B35" s="65">
        <f>1113+2224</f>
        <v>3337</v>
      </c>
      <c r="C35" s="7">
        <f>764+1197</f>
        <v>1961</v>
      </c>
      <c r="D35" s="7">
        <f>7954+14538</f>
        <v>22492</v>
      </c>
      <c r="E35" s="7">
        <f>77+284</f>
        <v>361</v>
      </c>
      <c r="F35" s="7">
        <f>3+28</f>
        <v>31</v>
      </c>
      <c r="G35" s="7">
        <f>178+253</f>
        <v>431</v>
      </c>
      <c r="H35" s="12">
        <f>514+1610</f>
        <v>2124</v>
      </c>
      <c r="I35" s="59">
        <f t="shared" si="5"/>
        <v>30737</v>
      </c>
    </row>
    <row r="36" spans="1:9" ht="12.75">
      <c r="A36" s="62" t="s">
        <v>45</v>
      </c>
      <c r="B36" s="65">
        <f>2295+4639</f>
        <v>6934</v>
      </c>
      <c r="C36" s="7">
        <f>2603+4279</f>
        <v>6882</v>
      </c>
      <c r="D36" s="7">
        <f>13+16</f>
        <v>29</v>
      </c>
      <c r="E36" s="7">
        <f>3+7</f>
        <v>10</v>
      </c>
      <c r="F36" s="7">
        <v>129</v>
      </c>
      <c r="G36" s="7">
        <f>72+139</f>
        <v>211</v>
      </c>
      <c r="H36" s="12">
        <f>796+1070</f>
        <v>1866</v>
      </c>
      <c r="I36" s="59">
        <f t="shared" si="5"/>
        <v>16061</v>
      </c>
    </row>
    <row r="37" spans="1:9" ht="12.75">
      <c r="A37" s="62" t="s">
        <v>46</v>
      </c>
      <c r="B37" s="66">
        <f>2431+4887</f>
        <v>7318</v>
      </c>
      <c r="C37" s="12">
        <f>1787+5613</f>
        <v>7400</v>
      </c>
      <c r="D37" s="12">
        <f>80+214</f>
        <v>294</v>
      </c>
      <c r="E37" s="12">
        <f>11+26</f>
        <v>37</v>
      </c>
      <c r="F37" s="12">
        <v>3</v>
      </c>
      <c r="G37" s="12">
        <f>257+502</f>
        <v>759</v>
      </c>
      <c r="H37" s="12">
        <f>738+652</f>
        <v>1390</v>
      </c>
      <c r="I37" s="59">
        <f t="shared" si="5"/>
        <v>17201</v>
      </c>
    </row>
    <row r="38" spans="1:9" ht="12.75">
      <c r="A38" s="62" t="s">
        <v>47</v>
      </c>
      <c r="B38" s="66">
        <f>1650+3405</f>
        <v>5055</v>
      </c>
      <c r="C38" s="12">
        <f>540+2150</f>
        <v>2690</v>
      </c>
      <c r="D38" s="12">
        <f>65+2</f>
        <v>67</v>
      </c>
      <c r="E38" s="12">
        <f>1</f>
        <v>1</v>
      </c>
      <c r="F38" s="12">
        <v>0</v>
      </c>
      <c r="G38" s="12">
        <v>6</v>
      </c>
      <c r="H38" s="12">
        <f>190+193</f>
        <v>383</v>
      </c>
      <c r="I38" s="59">
        <f t="shared" si="5"/>
        <v>8202</v>
      </c>
    </row>
    <row r="39" spans="1:9" ht="12.75">
      <c r="A39" s="62" t="s">
        <v>48</v>
      </c>
      <c r="B39" s="65">
        <f>17+497</f>
        <v>514</v>
      </c>
      <c r="C39" s="7">
        <v>0</v>
      </c>
      <c r="D39" s="7">
        <v>9</v>
      </c>
      <c r="E39" s="7">
        <f>37+62</f>
        <v>99</v>
      </c>
      <c r="F39" s="7">
        <f>356+589</f>
        <v>945</v>
      </c>
      <c r="G39" s="7">
        <f>354+387</f>
        <v>741</v>
      </c>
      <c r="H39" s="12">
        <f>81+124</f>
        <v>205</v>
      </c>
      <c r="I39" s="59">
        <f t="shared" si="5"/>
        <v>2513</v>
      </c>
    </row>
    <row r="40" spans="1:9" ht="13.5" thickBot="1">
      <c r="A40" s="17"/>
      <c r="B40" s="65"/>
      <c r="C40" s="7"/>
      <c r="D40" s="7"/>
      <c r="E40" s="7"/>
      <c r="F40" s="10"/>
      <c r="G40" s="10"/>
      <c r="H40" s="10"/>
      <c r="I40" s="69" t="s">
        <v>19</v>
      </c>
    </row>
    <row r="41" spans="1:9" ht="12.75">
      <c r="A41" s="17" t="s">
        <v>7</v>
      </c>
      <c r="B41" s="67">
        <f aca="true" t="shared" si="6" ref="B41:I41">SUM(B34:B39)</f>
        <v>27518</v>
      </c>
      <c r="C41" s="60">
        <f t="shared" si="6"/>
        <v>19153</v>
      </c>
      <c r="D41" s="60">
        <f t="shared" si="6"/>
        <v>26674</v>
      </c>
      <c r="E41" s="60">
        <f t="shared" si="6"/>
        <v>2482</v>
      </c>
      <c r="F41" s="60">
        <f t="shared" si="6"/>
        <v>1413</v>
      </c>
      <c r="G41" s="60">
        <f t="shared" si="6"/>
        <v>2192</v>
      </c>
      <c r="H41" s="61">
        <f t="shared" si="6"/>
        <v>8522</v>
      </c>
      <c r="I41" s="18">
        <f t="shared" si="6"/>
        <v>87954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96"/>
  <sheetViews>
    <sheetView tabSelected="1" workbookViewId="0" topLeftCell="A2">
      <selection activeCell="B2" sqref="B2"/>
    </sheetView>
  </sheetViews>
  <sheetFormatPr defaultColWidth="9.140625" defaultRowHeight="12.75"/>
  <cols>
    <col min="1" max="1" width="22.421875" style="0" customWidth="1"/>
    <col min="10" max="10" width="13.28125" style="0" customWidth="1"/>
    <col min="11" max="11" width="10.28125" style="0" customWidth="1"/>
  </cols>
  <sheetData>
    <row r="2" ht="20.25">
      <c r="A2" s="78" t="s">
        <v>58</v>
      </c>
    </row>
    <row r="3" ht="20.25">
      <c r="A3" s="78"/>
    </row>
    <row r="4" spans="1:4" ht="15.75">
      <c r="A4" s="13" t="s">
        <v>56</v>
      </c>
      <c r="B4" s="13"/>
      <c r="C4" s="13"/>
      <c r="D4" s="13"/>
    </row>
    <row r="5" spans="1:4" ht="15.75">
      <c r="A5" s="13" t="s">
        <v>57</v>
      </c>
      <c r="B5" s="13"/>
      <c r="C5" s="13"/>
      <c r="D5" s="13"/>
    </row>
    <row r="7" spans="3:17" ht="15.75">
      <c r="C7" s="13" t="s">
        <v>23</v>
      </c>
      <c r="D7" s="13"/>
      <c r="E7" s="13"/>
      <c r="J7" s="15"/>
      <c r="K7" s="15"/>
      <c r="L7" s="15"/>
      <c r="M7" s="71" t="s">
        <v>24</v>
      </c>
      <c r="N7" s="71"/>
      <c r="O7" s="75"/>
      <c r="P7" s="15"/>
      <c r="Q7" s="15"/>
    </row>
    <row r="8" spans="1:17" ht="12.75">
      <c r="A8" s="15"/>
      <c r="B8" s="16">
        <v>1998</v>
      </c>
      <c r="C8" s="16">
        <v>1999</v>
      </c>
      <c r="D8" s="16">
        <v>2000</v>
      </c>
      <c r="E8" s="16">
        <v>2001</v>
      </c>
      <c r="F8" s="16">
        <v>2002</v>
      </c>
      <c r="G8" s="16">
        <v>2003</v>
      </c>
      <c r="H8" s="16">
        <v>2004</v>
      </c>
      <c r="I8" s="35"/>
      <c r="J8" s="15"/>
      <c r="K8" s="16">
        <v>1998</v>
      </c>
      <c r="L8" s="16">
        <v>1999</v>
      </c>
      <c r="M8" s="16">
        <v>2000</v>
      </c>
      <c r="N8" s="16">
        <v>2001</v>
      </c>
      <c r="O8" s="16">
        <v>2002</v>
      </c>
      <c r="P8" s="16">
        <v>2003</v>
      </c>
      <c r="Q8" s="16">
        <v>2004</v>
      </c>
    </row>
    <row r="9" spans="1:17" ht="12.75">
      <c r="A9" s="16" t="s">
        <v>1</v>
      </c>
      <c r="B9" s="37">
        <f>'VEIÐUHAGTØL 1998-2002'!B4</f>
        <v>860</v>
      </c>
      <c r="C9" s="37">
        <f>'VEIÐUHAGTØL 1998-2002'!B15</f>
        <v>1564</v>
      </c>
      <c r="D9" s="37">
        <f>'VEIÐUHAGTØL 1998-2002'!B26</f>
        <v>2290</v>
      </c>
      <c r="E9" s="37">
        <f>'VEIÐUHAGTØL 1998-2002'!B37</f>
        <v>1837</v>
      </c>
      <c r="F9" s="37">
        <f>'VEIÐUHAGTØL 1998-2002'!B48</f>
        <v>1640</v>
      </c>
      <c r="G9" s="37">
        <v>2966</v>
      </c>
      <c r="H9" s="15">
        <f>(451+3909)</f>
        <v>4360</v>
      </c>
      <c r="I9" s="72"/>
      <c r="J9" s="16" t="s">
        <v>1</v>
      </c>
      <c r="K9" s="32">
        <f aca="true" t="shared" si="0" ref="K9:K14">B9/$B$16</f>
        <v>0.031791800672803225</v>
      </c>
      <c r="L9" s="32">
        <f aca="true" t="shared" si="1" ref="L9:L14">C9/$C$16</f>
        <v>0.08594823322525691</v>
      </c>
      <c r="M9" s="32">
        <f aca="true" t="shared" si="2" ref="M9:M14">D9/$D$16</f>
        <v>0.13848572810836962</v>
      </c>
      <c r="N9" s="32">
        <f aca="true" t="shared" si="3" ref="N9:N14">E9/$E$16</f>
        <v>0.06902382204854587</v>
      </c>
      <c r="O9" s="32">
        <f aca="true" t="shared" si="4" ref="O9:O14">F9/$F$16</f>
        <v>0.05127563781890945</v>
      </c>
      <c r="P9" s="32">
        <f aca="true" t="shared" si="5" ref="P9:P14">G9/$G$16</f>
        <v>0.08281677556262913</v>
      </c>
      <c r="Q9" s="32">
        <f aca="true" t="shared" si="6" ref="Q9:Q14">H9/$H$16</f>
        <v>0.15844174722000146</v>
      </c>
    </row>
    <row r="10" spans="1:17" ht="12.75">
      <c r="A10" s="16" t="s">
        <v>2</v>
      </c>
      <c r="B10" s="37">
        <f>'VEIÐUHAGTØL 1998-2002'!B5</f>
        <v>4564</v>
      </c>
      <c r="C10" s="37">
        <f>'VEIÐUHAGTØL 1998-2002'!B16</f>
        <v>3354</v>
      </c>
      <c r="D10" s="37">
        <f>'VEIÐUHAGTØL 1998-2002'!B27</f>
        <v>3673</v>
      </c>
      <c r="E10" s="37">
        <f>'VEIÐUHAGTØL 1998-2002'!B38</f>
        <v>4862</v>
      </c>
      <c r="F10" s="37">
        <f>'VEIÐUHAGTØL 1998-2002'!B49</f>
        <v>4054</v>
      </c>
      <c r="G10" s="37">
        <v>3400</v>
      </c>
      <c r="H10" s="15">
        <f>1113+2224</f>
        <v>3337</v>
      </c>
      <c r="I10" s="72"/>
      <c r="J10" s="16" t="s">
        <v>2</v>
      </c>
      <c r="K10" s="32">
        <f t="shared" si="0"/>
        <v>0.16871834682636502</v>
      </c>
      <c r="L10" s="32">
        <f t="shared" si="1"/>
        <v>0.18431609605979007</v>
      </c>
      <c r="M10" s="32">
        <f t="shared" si="2"/>
        <v>0.2221214320270924</v>
      </c>
      <c r="N10" s="32">
        <f t="shared" si="3"/>
        <v>0.18268580446381605</v>
      </c>
      <c r="O10" s="32">
        <f t="shared" si="4"/>
        <v>0.12675087543771885</v>
      </c>
      <c r="P10" s="32">
        <f t="shared" si="5"/>
        <v>0.09493494164293294</v>
      </c>
      <c r="Q10" s="32">
        <f t="shared" si="6"/>
        <v>0.12126608038374882</v>
      </c>
    </row>
    <row r="11" spans="1:17" ht="12.75">
      <c r="A11" s="16" t="s">
        <v>3</v>
      </c>
      <c r="B11" s="37">
        <f>'VEIÐUHAGTØL 1998-2002'!B6</f>
        <v>8353</v>
      </c>
      <c r="C11" s="37">
        <f>'VEIÐUHAGTØL 1998-2002'!B17</f>
        <v>4942</v>
      </c>
      <c r="D11" s="37">
        <f>'VEIÐUHAGTØL 1998-2002'!B28</f>
        <v>2808</v>
      </c>
      <c r="E11" s="37">
        <f>'VEIÐUHAGTØL 1998-2002'!B39</f>
        <v>4010</v>
      </c>
      <c r="F11" s="37">
        <f>'VEIÐUHAGTØL 1998-2002'!B50</f>
        <v>6699</v>
      </c>
      <c r="G11" s="37">
        <v>8376</v>
      </c>
      <c r="H11" s="15">
        <f>2295+4639</f>
        <v>6934</v>
      </c>
      <c r="I11" s="72"/>
      <c r="J11" s="16" t="s">
        <v>3</v>
      </c>
      <c r="K11" s="32">
        <f t="shared" si="0"/>
        <v>0.3087871058371225</v>
      </c>
      <c r="L11" s="32">
        <f t="shared" si="1"/>
        <v>0.27158322800461615</v>
      </c>
      <c r="M11" s="32">
        <f t="shared" si="2"/>
        <v>0.16981132075471697</v>
      </c>
      <c r="N11" s="32">
        <f t="shared" si="3"/>
        <v>0.1506725783422259</v>
      </c>
      <c r="O11" s="32">
        <f t="shared" si="4"/>
        <v>0.20944847423711857</v>
      </c>
      <c r="P11" s="32">
        <f t="shared" si="5"/>
        <v>0.23387502094153123</v>
      </c>
      <c r="Q11" s="32">
        <f t="shared" si="6"/>
        <v>0.25198052184025</v>
      </c>
    </row>
    <row r="12" spans="1:17" ht="12.75">
      <c r="A12" s="16" t="s">
        <v>4</v>
      </c>
      <c r="B12" s="37">
        <f>'VEIÐUHAGTØL 1998-2002'!B7</f>
        <v>8207</v>
      </c>
      <c r="C12" s="37">
        <f>'VEIÐUHAGTØL 1998-2002'!B18</f>
        <v>5270</v>
      </c>
      <c r="D12" s="37">
        <f>'VEIÐUHAGTØL 1998-2002'!B29</f>
        <v>5338</v>
      </c>
      <c r="E12" s="37">
        <f>'VEIÐUHAGTØL 1998-2002'!B40</f>
        <v>8588</v>
      </c>
      <c r="F12" s="37">
        <f>'VEIÐUHAGTØL 1998-2002'!B51</f>
        <v>12105</v>
      </c>
      <c r="G12" s="37">
        <v>12284</v>
      </c>
      <c r="H12" s="70">
        <f>2431+4887</f>
        <v>7318</v>
      </c>
      <c r="I12" s="72"/>
      <c r="J12" s="16" t="s">
        <v>4</v>
      </c>
      <c r="K12" s="32">
        <f t="shared" si="0"/>
        <v>0.30338989316476284</v>
      </c>
      <c r="L12" s="32">
        <f t="shared" si="1"/>
        <v>0.28960817717206133</v>
      </c>
      <c r="M12" s="32">
        <f t="shared" si="2"/>
        <v>0.32281083696178037</v>
      </c>
      <c r="N12" s="32">
        <f t="shared" si="3"/>
        <v>0.32268730743217855</v>
      </c>
      <c r="O12" s="32">
        <f t="shared" si="4"/>
        <v>0.37847048524262134</v>
      </c>
      <c r="P12" s="32">
        <f t="shared" si="5"/>
        <v>0.34299435974758474</v>
      </c>
      <c r="Q12" s="32">
        <f t="shared" si="6"/>
        <v>0.26593502434769967</v>
      </c>
    </row>
    <row r="13" spans="1:17" ht="12.75">
      <c r="A13" s="16" t="s">
        <v>5</v>
      </c>
      <c r="B13" s="37">
        <f>'VEIÐUHAGTØL 1998-2002'!B8</f>
        <v>4900</v>
      </c>
      <c r="C13" s="37">
        <f>'VEIÐUHAGTØL 1998-2002'!B19</f>
        <v>2836</v>
      </c>
      <c r="D13" s="37">
        <f>'VEIÐUHAGTØL 1998-2002'!B30</f>
        <v>2136</v>
      </c>
      <c r="E13" s="37">
        <f>'VEIÐUHAGTØL 1998-2002'!B41</f>
        <v>7147</v>
      </c>
      <c r="F13" s="37">
        <f>'VEIÐUHAGTØL 1998-2002'!B52</f>
        <v>7359</v>
      </c>
      <c r="G13" s="37">
        <v>8572</v>
      </c>
      <c r="H13" s="70">
        <f>1650+3405</f>
        <v>5055</v>
      </c>
      <c r="I13" s="72"/>
      <c r="J13" s="16" t="s">
        <v>5</v>
      </c>
      <c r="K13" s="32">
        <f t="shared" si="0"/>
        <v>0.18113932941480906</v>
      </c>
      <c r="L13" s="32">
        <f t="shared" si="1"/>
        <v>0.15584986536242237</v>
      </c>
      <c r="M13" s="32">
        <f t="shared" si="2"/>
        <v>0.12917271407837447</v>
      </c>
      <c r="N13" s="32">
        <f t="shared" si="3"/>
        <v>0.26854287217254075</v>
      </c>
      <c r="O13" s="32">
        <f t="shared" si="4"/>
        <v>0.23008379189594796</v>
      </c>
      <c r="P13" s="32">
        <f t="shared" si="5"/>
        <v>0.23934774110682974</v>
      </c>
      <c r="Q13" s="32">
        <f t="shared" si="6"/>
        <v>0.18369794316447416</v>
      </c>
    </row>
    <row r="14" spans="1:17" ht="12.75">
      <c r="A14" s="16" t="s">
        <v>6</v>
      </c>
      <c r="B14" s="37">
        <f>'VEIÐUHAGTØL 1998-2002'!B9</f>
        <v>167</v>
      </c>
      <c r="C14" s="37">
        <f>'VEIÐUHAGTØL 1998-2002'!B20</f>
        <v>231</v>
      </c>
      <c r="D14" s="37">
        <f>'VEIÐUHAGTØL 1998-2002'!B31</f>
        <v>291</v>
      </c>
      <c r="E14" s="37">
        <f>'VEIÐUHAGTØL 1998-2002'!B42</f>
        <v>170</v>
      </c>
      <c r="F14" s="37">
        <f>'VEIÐUHAGTØL 1998-2002'!B53</f>
        <v>127</v>
      </c>
      <c r="G14" s="37">
        <v>216</v>
      </c>
      <c r="H14" s="15">
        <f>17+497</f>
        <v>514</v>
      </c>
      <c r="I14" s="72"/>
      <c r="J14" s="16" t="s">
        <v>6</v>
      </c>
      <c r="K14" s="32">
        <f t="shared" si="0"/>
        <v>0.00617352408413737</v>
      </c>
      <c r="L14" s="32">
        <f t="shared" si="1"/>
        <v>0.012694400175853163</v>
      </c>
      <c r="M14" s="32">
        <f t="shared" si="2"/>
        <v>0.017597968069666185</v>
      </c>
      <c r="N14" s="32">
        <f t="shared" si="3"/>
        <v>0.006387615540692868</v>
      </c>
      <c r="O14" s="32">
        <f t="shared" si="4"/>
        <v>0.003970735367683842</v>
      </c>
      <c r="P14" s="32">
        <f t="shared" si="5"/>
        <v>0.00603116099849221</v>
      </c>
      <c r="Q14" s="32">
        <f t="shared" si="6"/>
        <v>0.01867868304382586</v>
      </c>
    </row>
    <row r="15" spans="1:17" ht="12.75">
      <c r="A15" s="16"/>
      <c r="B15" s="15"/>
      <c r="C15" s="15"/>
      <c r="D15" s="15"/>
      <c r="E15" s="15"/>
      <c r="F15" s="15"/>
      <c r="G15" s="15"/>
      <c r="H15" s="15"/>
      <c r="I15" s="73"/>
      <c r="J15" s="16"/>
      <c r="K15" s="32"/>
      <c r="L15" s="32"/>
      <c r="M15" s="32"/>
      <c r="N15" s="32"/>
      <c r="O15" s="32"/>
      <c r="P15" s="32" t="s">
        <v>19</v>
      </c>
      <c r="Q15" s="32" t="s">
        <v>19</v>
      </c>
    </row>
    <row r="16" spans="1:17" ht="12.75">
      <c r="A16" s="16" t="s">
        <v>7</v>
      </c>
      <c r="B16" s="16">
        <f aca="true" t="shared" si="7" ref="B16:G16">SUM(B9:B14)</f>
        <v>27051</v>
      </c>
      <c r="C16" s="16">
        <f t="shared" si="7"/>
        <v>18197</v>
      </c>
      <c r="D16" s="16">
        <f t="shared" si="7"/>
        <v>16536</v>
      </c>
      <c r="E16" s="16">
        <f t="shared" si="7"/>
        <v>26614</v>
      </c>
      <c r="F16" s="16">
        <f t="shared" si="7"/>
        <v>31984</v>
      </c>
      <c r="G16" s="38">
        <f t="shared" si="7"/>
        <v>35814</v>
      </c>
      <c r="H16" s="16">
        <f>SUM(H9:H14)</f>
        <v>27518</v>
      </c>
      <c r="I16" s="74"/>
      <c r="J16" s="16" t="s">
        <v>7</v>
      </c>
      <c r="K16" s="34">
        <f>SUM(K9:K14)</f>
        <v>1</v>
      </c>
      <c r="L16" s="34">
        <f>SUM(L9:L14)</f>
        <v>1</v>
      </c>
      <c r="M16" s="34">
        <f>SUM(M9:M14)</f>
        <v>1</v>
      </c>
      <c r="N16" s="34">
        <f>SUM(N9:N14)</f>
        <v>1</v>
      </c>
      <c r="O16" s="34">
        <f>SUM(O9:O14)</f>
        <v>1</v>
      </c>
      <c r="P16" s="34">
        <f>G16/$G$16</f>
        <v>1</v>
      </c>
      <c r="Q16" s="34">
        <f>H16/$H$16</f>
        <v>1</v>
      </c>
    </row>
    <row r="17" spans="1:9" ht="12.75">
      <c r="A17" s="35"/>
      <c r="B17" s="7"/>
      <c r="C17" s="7"/>
      <c r="D17" s="7"/>
      <c r="E17" s="7"/>
      <c r="F17" s="7"/>
      <c r="G17" s="7"/>
      <c r="H17" s="7"/>
      <c r="I17" s="7"/>
    </row>
    <row r="18" spans="1:16" ht="15">
      <c r="A18" s="35"/>
      <c r="B18" s="7"/>
      <c r="C18" s="36"/>
      <c r="D18" s="36"/>
      <c r="E18" s="36"/>
      <c r="F18" s="7"/>
      <c r="G18" s="7"/>
      <c r="H18" s="7"/>
      <c r="I18" s="7"/>
      <c r="P18" t="s">
        <v>19</v>
      </c>
    </row>
    <row r="19" spans="1:17" ht="15.75">
      <c r="A19" s="16"/>
      <c r="B19" s="15"/>
      <c r="C19" s="71" t="s">
        <v>25</v>
      </c>
      <c r="D19" s="71"/>
      <c r="E19" s="15"/>
      <c r="F19" s="15"/>
      <c r="G19" s="15"/>
      <c r="H19" s="15"/>
      <c r="I19" s="7"/>
      <c r="J19" s="16"/>
      <c r="K19" s="15"/>
      <c r="L19" s="71" t="s">
        <v>26</v>
      </c>
      <c r="M19" s="71"/>
      <c r="N19" s="15"/>
      <c r="O19" s="15"/>
      <c r="P19" s="15"/>
      <c r="Q19" s="15"/>
    </row>
    <row r="20" spans="1:17" ht="12.75">
      <c r="A20" s="15"/>
      <c r="B20" s="16">
        <v>1998</v>
      </c>
      <c r="C20" s="16">
        <v>1999</v>
      </c>
      <c r="D20" s="16">
        <v>2000</v>
      </c>
      <c r="E20" s="16">
        <v>2001</v>
      </c>
      <c r="F20" s="16">
        <v>2002</v>
      </c>
      <c r="G20" s="16">
        <v>2003</v>
      </c>
      <c r="H20" s="16">
        <v>2004</v>
      </c>
      <c r="I20" s="55"/>
      <c r="J20" s="15"/>
      <c r="K20" s="16">
        <v>1998</v>
      </c>
      <c r="L20" s="16">
        <v>1999</v>
      </c>
      <c r="M20" s="16">
        <v>2000</v>
      </c>
      <c r="N20" s="16">
        <v>2001</v>
      </c>
      <c r="O20" s="16">
        <v>2002</v>
      </c>
      <c r="P20" s="54">
        <v>2003</v>
      </c>
      <c r="Q20" s="54">
        <v>2004</v>
      </c>
    </row>
    <row r="21" spans="1:17" ht="12.75">
      <c r="A21" s="16" t="s">
        <v>1</v>
      </c>
      <c r="B21" s="37">
        <f>'VEIÐUHAGTØL 1998-2002'!C4</f>
        <v>284</v>
      </c>
      <c r="C21" s="37">
        <f>'VEIÐUHAGTØL 1998-2002'!C15</f>
        <v>879</v>
      </c>
      <c r="D21" s="37">
        <f>'VEIÐUHAGTØL 1998-2002'!C26</f>
        <v>736</v>
      </c>
      <c r="E21" s="37">
        <f>'VEIÐUHAGTØL 1998-2002'!C37</f>
        <v>572</v>
      </c>
      <c r="F21" s="37">
        <f>'VEIÐUHAGTØL 1998-2002'!C48</f>
        <v>1594</v>
      </c>
      <c r="G21" s="37">
        <v>1382</v>
      </c>
      <c r="H21" s="15">
        <f>38+182</f>
        <v>220</v>
      </c>
      <c r="I21" s="72"/>
      <c r="J21" s="16" t="s">
        <v>1</v>
      </c>
      <c r="K21" s="32">
        <f aca="true" t="shared" si="8" ref="K21:K26">B21/$B$28</f>
        <v>0.014297221103503826</v>
      </c>
      <c r="L21" s="32">
        <f aca="true" t="shared" si="9" ref="L21:L26">C21/$C$28</f>
        <v>0.049846886696155154</v>
      </c>
      <c r="M21" s="32">
        <f aca="true" t="shared" si="10" ref="M21:M26">D21/$D$28</f>
        <v>0.05307182001730603</v>
      </c>
      <c r="N21" s="32">
        <f aca="true" t="shared" si="11" ref="N21:N26">E21/$E$28</f>
        <v>0.040710005266679</v>
      </c>
      <c r="O21" s="32">
        <f aca="true" t="shared" si="12" ref="O21:O26">F21/$F$28</f>
        <v>0.08945507604242663</v>
      </c>
      <c r="P21" s="32">
        <f>G21/$G$28</f>
        <v>0.05442659105229994</v>
      </c>
      <c r="Q21" s="32">
        <f aca="true" t="shared" si="13" ref="Q21:Q28">H21/$H$28</f>
        <v>0.011486451208687933</v>
      </c>
    </row>
    <row r="22" spans="1:17" ht="12.75">
      <c r="A22" s="16" t="s">
        <v>2</v>
      </c>
      <c r="B22" s="37">
        <f>'VEIÐUHAGTØL 1998-2002'!C5</f>
        <v>3897</v>
      </c>
      <c r="C22" s="37">
        <f>'VEIÐUHAGTØL 1998-2002'!C16</f>
        <v>3114</v>
      </c>
      <c r="D22" s="37">
        <f>'VEIÐUHAGTØL 1998-2002'!C27</f>
        <v>3443</v>
      </c>
      <c r="E22" s="37">
        <f>'VEIÐUHAGTØL 1998-2002'!C38</f>
        <v>2733</v>
      </c>
      <c r="F22" s="37">
        <f>'VEIÐUHAGTØL 1998-2002'!C49</f>
        <v>2934</v>
      </c>
      <c r="G22" s="37">
        <v>3388</v>
      </c>
      <c r="H22" s="15">
        <f>764+1197</f>
        <v>1961</v>
      </c>
      <c r="I22" s="72"/>
      <c r="J22" s="16" t="s">
        <v>2</v>
      </c>
      <c r="K22" s="32">
        <f t="shared" si="8"/>
        <v>0.1961840515505437</v>
      </c>
      <c r="L22" s="32">
        <f t="shared" si="9"/>
        <v>0.17659067710105478</v>
      </c>
      <c r="M22" s="32">
        <f t="shared" si="10"/>
        <v>0.24826939717334873</v>
      </c>
      <c r="N22" s="32">
        <f t="shared" si="11"/>
        <v>0.1945112664227862</v>
      </c>
      <c r="O22" s="32">
        <f t="shared" si="12"/>
        <v>0.16465570458499354</v>
      </c>
      <c r="P22" s="32">
        <f aca="true" t="shared" si="14" ref="P22:P28">G22/$G$28</f>
        <v>0.13342785129174542</v>
      </c>
      <c r="Q22" s="32">
        <f t="shared" si="13"/>
        <v>0.10238604918289564</v>
      </c>
    </row>
    <row r="23" spans="1:17" ht="12.75">
      <c r="A23" s="16" t="s">
        <v>3</v>
      </c>
      <c r="B23" s="37">
        <f>'VEIÐUHAGTØL 1998-2002'!C6</f>
        <v>7878</v>
      </c>
      <c r="C23" s="37">
        <f>'VEIÐUHAGTØL 1998-2002'!C17</f>
        <v>7218</v>
      </c>
      <c r="D23" s="37">
        <f>'VEIÐUHAGTØL 1998-2002'!C28</f>
        <v>4971</v>
      </c>
      <c r="E23" s="37">
        <f>'VEIÐUHAGTØL 1998-2002'!C39</f>
        <v>4625</v>
      </c>
      <c r="F23" s="37">
        <f>'VEIÐUHAGTØL 1998-2002'!C50</f>
        <v>5903</v>
      </c>
      <c r="G23" s="37">
        <v>8764</v>
      </c>
      <c r="H23" s="15">
        <f>2603+4279</f>
        <v>6882</v>
      </c>
      <c r="I23" s="72"/>
      <c r="J23" s="16" t="s">
        <v>3</v>
      </c>
      <c r="K23" s="32">
        <f t="shared" si="8"/>
        <v>0.39659685863874344</v>
      </c>
      <c r="L23" s="32">
        <f t="shared" si="9"/>
        <v>0.40932289894521945</v>
      </c>
      <c r="M23" s="32">
        <f t="shared" si="10"/>
        <v>0.3584511104701471</v>
      </c>
      <c r="N23" s="32">
        <f t="shared" si="11"/>
        <v>0.3291674376894937</v>
      </c>
      <c r="O23" s="32">
        <f t="shared" si="12"/>
        <v>0.3312756046916213</v>
      </c>
      <c r="P23" s="32">
        <f t="shared" si="14"/>
        <v>0.3451480781348456</v>
      </c>
      <c r="Q23" s="32">
        <f t="shared" si="13"/>
        <v>0.35931707826450165</v>
      </c>
    </row>
    <row r="24" spans="1:17" ht="12.75">
      <c r="A24" s="16" t="s">
        <v>4</v>
      </c>
      <c r="B24" s="37">
        <f>'VEIÐUHAGTØL 1998-2002'!C7</f>
        <v>4892</v>
      </c>
      <c r="C24" s="37">
        <f>'VEIÐUHAGTØL 1998-2002'!C18</f>
        <v>4369</v>
      </c>
      <c r="D24" s="37">
        <f>'VEIÐUHAGTØL 1998-2002'!C29</f>
        <v>3523</v>
      </c>
      <c r="E24" s="37">
        <f>'VEIÐUHAGTØL 1998-2002'!C40</f>
        <v>4297</v>
      </c>
      <c r="F24" s="37">
        <f>'VEIÐUHAGTØL 1998-2002'!C51</f>
        <v>5327</v>
      </c>
      <c r="G24" s="37">
        <v>8693</v>
      </c>
      <c r="H24" s="70">
        <f>1787+5613</f>
        <v>7400</v>
      </c>
      <c r="I24" s="72"/>
      <c r="J24" s="16" t="s">
        <v>4</v>
      </c>
      <c r="K24" s="32">
        <f t="shared" si="8"/>
        <v>0.24627466774063633</v>
      </c>
      <c r="L24" s="32">
        <f t="shared" si="9"/>
        <v>0.24776000907338097</v>
      </c>
      <c r="M24" s="32">
        <f t="shared" si="10"/>
        <v>0.2540380732621863</v>
      </c>
      <c r="N24" s="32">
        <f t="shared" si="11"/>
        <v>0.3058232388652442</v>
      </c>
      <c r="O24" s="32">
        <f t="shared" si="12"/>
        <v>0.2989505583927269</v>
      </c>
      <c r="P24" s="32">
        <f t="shared" si="14"/>
        <v>0.3423519218651544</v>
      </c>
      <c r="Q24" s="32">
        <f t="shared" si="13"/>
        <v>0.38636244974677597</v>
      </c>
    </row>
    <row r="25" spans="1:17" ht="12.75">
      <c r="A25" s="16" t="s">
        <v>5</v>
      </c>
      <c r="B25" s="37">
        <f>'VEIÐUHAGTØL 1998-2002'!C8</f>
        <v>2910</v>
      </c>
      <c r="C25" s="37">
        <f>'VEIÐUHAGTØL 1998-2002'!C19</f>
        <v>2049</v>
      </c>
      <c r="D25" s="37">
        <f>'VEIÐUHAGTØL 1998-2002'!C30</f>
        <v>1193</v>
      </c>
      <c r="E25" s="37">
        <f>'VEIÐUHAGTØL 1998-2002'!C41</f>
        <v>1823</v>
      </c>
      <c r="F25" s="37">
        <f>'VEIÐUHAGTØL 1998-2002'!C52</f>
        <v>2061</v>
      </c>
      <c r="G25" s="37">
        <v>3165</v>
      </c>
      <c r="H25" s="70">
        <f>540+2150</f>
        <v>2690</v>
      </c>
      <c r="I25" s="72"/>
      <c r="J25" s="16" t="s">
        <v>5</v>
      </c>
      <c r="K25" s="32">
        <f t="shared" si="8"/>
        <v>0.14649617398308498</v>
      </c>
      <c r="L25" s="32">
        <f t="shared" si="9"/>
        <v>0.11619598502892141</v>
      </c>
      <c r="M25" s="32">
        <f t="shared" si="10"/>
        <v>0.08602538217479089</v>
      </c>
      <c r="N25" s="32">
        <f t="shared" si="11"/>
        <v>0.1297453489530696</v>
      </c>
      <c r="O25" s="32">
        <f t="shared" si="12"/>
        <v>0.11566305628823166</v>
      </c>
      <c r="P25" s="32">
        <f t="shared" si="14"/>
        <v>0.12464555765595463</v>
      </c>
      <c r="Q25" s="32">
        <f t="shared" si="13"/>
        <v>0.14044797159713884</v>
      </c>
    </row>
    <row r="26" spans="1:17" ht="12.75">
      <c r="A26" s="16" t="s">
        <v>6</v>
      </c>
      <c r="B26" s="37">
        <f>'VEIÐUHAGTØL 1998-2002'!C9</f>
        <v>3</v>
      </c>
      <c r="C26" s="37">
        <f>'VEIÐUHAGTØL 1998-2002'!C20</f>
        <v>5</v>
      </c>
      <c r="D26" s="37">
        <f>'VEIÐUHAGTØL 1998-2002'!C31</f>
        <v>2</v>
      </c>
      <c r="E26" s="37">
        <f>'VEIÐUHAGTØL 1998-2002'!C42</f>
        <v>0.6</v>
      </c>
      <c r="F26" s="37">
        <f>'VEIÐUHAGTØL 1998-2002'!C53</f>
        <v>0</v>
      </c>
      <c r="G26" s="37">
        <v>0</v>
      </c>
      <c r="H26" s="15">
        <v>0</v>
      </c>
      <c r="I26" s="72"/>
      <c r="J26" s="16" t="s">
        <v>6</v>
      </c>
      <c r="K26" s="32">
        <f t="shared" si="8"/>
        <v>0.00015102698348771646</v>
      </c>
      <c r="L26" s="32">
        <f t="shared" si="9"/>
        <v>0.00028354315526823184</v>
      </c>
      <c r="M26" s="32">
        <f t="shared" si="10"/>
        <v>0.00014421690222094028</v>
      </c>
      <c r="N26" s="32">
        <f t="shared" si="11"/>
        <v>4.270280272728566E-05</v>
      </c>
      <c r="O26" s="32">
        <f t="shared" si="12"/>
        <v>0</v>
      </c>
      <c r="P26" s="32">
        <f t="shared" si="14"/>
        <v>0</v>
      </c>
      <c r="Q26" s="32">
        <f t="shared" si="13"/>
        <v>0</v>
      </c>
    </row>
    <row r="27" spans="1:17" ht="12.75">
      <c r="A27" s="16"/>
      <c r="B27" s="15"/>
      <c r="C27" s="15"/>
      <c r="D27" s="15"/>
      <c r="E27" s="15"/>
      <c r="F27" s="15"/>
      <c r="G27" s="15"/>
      <c r="H27" s="15"/>
      <c r="I27" s="73"/>
      <c r="J27" s="16"/>
      <c r="K27" s="15"/>
      <c r="L27" s="15"/>
      <c r="M27" s="15"/>
      <c r="N27" s="15"/>
      <c r="O27" s="15"/>
      <c r="P27" s="32">
        <f t="shared" si="14"/>
        <v>0</v>
      </c>
      <c r="Q27" s="32">
        <f t="shared" si="13"/>
        <v>0</v>
      </c>
    </row>
    <row r="28" spans="1:17" ht="12.75">
      <c r="A28" s="16" t="s">
        <v>7</v>
      </c>
      <c r="B28" s="16">
        <f aca="true" t="shared" si="15" ref="B28:G28">SUM(B21:B26)</f>
        <v>19864</v>
      </c>
      <c r="C28" s="16">
        <f t="shared" si="15"/>
        <v>17634</v>
      </c>
      <c r="D28" s="16">
        <f t="shared" si="15"/>
        <v>13868</v>
      </c>
      <c r="E28" s="38">
        <f t="shared" si="15"/>
        <v>14050.6</v>
      </c>
      <c r="F28" s="16">
        <f t="shared" si="15"/>
        <v>17819</v>
      </c>
      <c r="G28" s="38">
        <f t="shared" si="15"/>
        <v>25392</v>
      </c>
      <c r="H28" s="16">
        <f>SUM(H21:H26)</f>
        <v>19153</v>
      </c>
      <c r="I28" s="55"/>
      <c r="J28" s="16" t="s">
        <v>7</v>
      </c>
      <c r="K28" s="34">
        <f>SUM(K21:K26)</f>
        <v>1</v>
      </c>
      <c r="L28" s="34">
        <f>SUM(L21:L26)</f>
        <v>0.9999999999999999</v>
      </c>
      <c r="M28" s="34">
        <f>SUM(M21:M26)</f>
        <v>1</v>
      </c>
      <c r="N28" s="34">
        <f>SUM(N21:N26)</f>
        <v>1</v>
      </c>
      <c r="O28" s="34">
        <f>SUM(O21:O26)</f>
        <v>1</v>
      </c>
      <c r="P28" s="34">
        <f t="shared" si="14"/>
        <v>1</v>
      </c>
      <c r="Q28" s="34">
        <f t="shared" si="13"/>
        <v>1</v>
      </c>
    </row>
    <row r="29" spans="1:9" ht="12.75">
      <c r="A29" s="35"/>
      <c r="B29" s="7"/>
      <c r="C29" s="7"/>
      <c r="D29" s="7"/>
      <c r="E29" s="7"/>
      <c r="F29" s="7"/>
      <c r="G29" s="7"/>
      <c r="H29" s="7"/>
      <c r="I29" s="7"/>
    </row>
    <row r="30" spans="1:9" ht="12.75">
      <c r="A30" s="35"/>
      <c r="B30" s="7"/>
      <c r="C30" s="7"/>
      <c r="D30" s="7"/>
      <c r="E30" s="7"/>
      <c r="F30" s="7"/>
      <c r="G30" s="7"/>
      <c r="H30" s="7"/>
      <c r="I30" s="7"/>
    </row>
    <row r="31" spans="1:17" ht="15.75">
      <c r="A31" s="16"/>
      <c r="B31" s="15"/>
      <c r="C31" s="71" t="s">
        <v>27</v>
      </c>
      <c r="D31" s="71"/>
      <c r="E31" s="15"/>
      <c r="F31" s="15"/>
      <c r="G31" s="15"/>
      <c r="H31" s="15"/>
      <c r="J31" s="16"/>
      <c r="K31" s="15"/>
      <c r="L31" s="71" t="s">
        <v>28</v>
      </c>
      <c r="M31" s="71"/>
      <c r="N31" s="15"/>
      <c r="O31" s="15"/>
      <c r="P31" s="15"/>
      <c r="Q31" s="15"/>
    </row>
    <row r="32" spans="1:17" ht="12.75">
      <c r="A32" s="15"/>
      <c r="B32" s="16">
        <v>1998</v>
      </c>
      <c r="C32" s="16">
        <v>1999</v>
      </c>
      <c r="D32" s="16">
        <v>2000</v>
      </c>
      <c r="E32" s="16">
        <v>2001</v>
      </c>
      <c r="F32" s="16">
        <v>2002</v>
      </c>
      <c r="G32" s="16">
        <v>2003</v>
      </c>
      <c r="H32" s="16">
        <v>2004</v>
      </c>
      <c r="I32" s="55"/>
      <c r="J32" s="15"/>
      <c r="K32" s="16">
        <v>1998</v>
      </c>
      <c r="L32" s="16">
        <v>1999</v>
      </c>
      <c r="M32" s="16">
        <v>2000</v>
      </c>
      <c r="N32" s="16">
        <v>2001</v>
      </c>
      <c r="O32" s="16">
        <v>2002</v>
      </c>
      <c r="P32" s="54">
        <v>2003</v>
      </c>
      <c r="Q32" s="54">
        <v>2004</v>
      </c>
    </row>
    <row r="33" spans="1:17" ht="12.75">
      <c r="A33" s="16" t="s">
        <v>1</v>
      </c>
      <c r="B33" s="37">
        <f>'VEIÐUHAGTØL 1998-2002'!D4</f>
        <v>3675</v>
      </c>
      <c r="C33" s="37">
        <f>'VEIÐUHAGTØL 1998-2002'!D15</f>
        <v>3674</v>
      </c>
      <c r="D33" s="37">
        <f>'VEIÐUHAGTØL 1998-2002'!D26</f>
        <v>3647</v>
      </c>
      <c r="E33" s="37">
        <f>'VEIÐUHAGTØL 1998-2002'!D37</f>
        <v>6746</v>
      </c>
      <c r="F33" s="37">
        <f>'VEIÐUHAGTØL 1998-2002'!D48</f>
        <v>11783</v>
      </c>
      <c r="G33" s="37">
        <v>9625</v>
      </c>
      <c r="H33" s="15">
        <f>1400+2383</f>
        <v>3783</v>
      </c>
      <c r="I33" s="72"/>
      <c r="J33" s="16" t="s">
        <v>1</v>
      </c>
      <c r="K33" s="32">
        <f aca="true" t="shared" si="16" ref="K33:K38">B33/$B$40</f>
        <v>0.1644221735045412</v>
      </c>
      <c r="L33" s="32">
        <f aca="true" t="shared" si="17" ref="L33:L38">C33/$C$40</f>
        <v>0.13398978847556528</v>
      </c>
      <c r="M33" s="32">
        <f aca="true" t="shared" si="18" ref="M33:M38">D33/$D$40</f>
        <v>0.12363550071191268</v>
      </c>
      <c r="N33" s="32">
        <f aca="true" t="shared" si="19" ref="N33:N38">E33/$E$40</f>
        <v>0.18356462585034014</v>
      </c>
      <c r="O33" s="32">
        <f aca="true" t="shared" si="20" ref="O33:O38">F33/$F$40</f>
        <v>0.22771282249492705</v>
      </c>
      <c r="P33" s="32">
        <f aca="true" t="shared" si="21" ref="P33:P38">G33/$G$40</f>
        <v>0.20803164242332547</v>
      </c>
      <c r="Q33" s="32">
        <f aca="true" t="shared" si="22" ref="Q33:Q38">H33/$H$40</f>
        <v>0.14182349853790208</v>
      </c>
    </row>
    <row r="34" spans="1:17" ht="12.75">
      <c r="A34" s="16" t="s">
        <v>2</v>
      </c>
      <c r="B34" s="37">
        <f>'VEIÐUHAGTØL 1998-2002'!D5</f>
        <v>16201</v>
      </c>
      <c r="C34" s="37">
        <f>'VEIÐUHAGTØL 1998-2002'!D16</f>
        <v>21519</v>
      </c>
      <c r="D34" s="37">
        <f>'VEIÐUHAGTØL 1998-2002'!D27</f>
        <v>24085</v>
      </c>
      <c r="E34" s="37">
        <f>'VEIÐUHAGTØL 1998-2002'!D38</f>
        <v>28191</v>
      </c>
      <c r="F34" s="37">
        <f>'VEIÐUHAGTØL 1998-2002'!D49</f>
        <v>38596</v>
      </c>
      <c r="G34" s="37">
        <v>36080</v>
      </c>
      <c r="H34" s="15">
        <f>7954+14538</f>
        <v>22492</v>
      </c>
      <c r="I34" s="72"/>
      <c r="J34" s="16" t="s">
        <v>2</v>
      </c>
      <c r="K34" s="32">
        <f t="shared" si="16"/>
        <v>0.7248445259719923</v>
      </c>
      <c r="L34" s="32">
        <f t="shared" si="17"/>
        <v>0.7847921225382932</v>
      </c>
      <c r="M34" s="32">
        <f t="shared" si="18"/>
        <v>0.8164960336293986</v>
      </c>
      <c r="N34" s="32">
        <f t="shared" si="19"/>
        <v>0.7671020408163265</v>
      </c>
      <c r="O34" s="32">
        <f t="shared" si="20"/>
        <v>0.7458884916417046</v>
      </c>
      <c r="P34" s="32">
        <f t="shared" si="21"/>
        <v>0.7798214710268658</v>
      </c>
      <c r="Q34" s="32">
        <f t="shared" si="22"/>
        <v>0.84321811501837</v>
      </c>
    </row>
    <row r="35" spans="1:17" ht="12.75">
      <c r="A35" s="16" t="s">
        <v>3</v>
      </c>
      <c r="B35" s="37">
        <f>'VEIÐUHAGTØL 1998-2002'!D6</f>
        <v>72</v>
      </c>
      <c r="C35" s="37">
        <f>'VEIÐUHAGTØL 1998-2002'!D17</f>
        <v>62</v>
      </c>
      <c r="D35" s="37">
        <f>'VEIÐUHAGTØL 1998-2002'!D28</f>
        <v>50</v>
      </c>
      <c r="E35" s="37">
        <f>'VEIÐUHAGTØL 1998-2002'!D39</f>
        <v>47</v>
      </c>
      <c r="F35" s="37">
        <f>'VEIÐUHAGTØL 1998-2002'!D50</f>
        <v>62</v>
      </c>
      <c r="G35" s="37">
        <v>26</v>
      </c>
      <c r="H35" s="15">
        <f>13+16</f>
        <v>29</v>
      </c>
      <c r="I35" s="72"/>
      <c r="J35" s="16" t="s">
        <v>3</v>
      </c>
      <c r="K35" s="32">
        <f t="shared" si="16"/>
        <v>0.0032213323788644805</v>
      </c>
      <c r="L35" s="32">
        <f t="shared" si="17"/>
        <v>0.0022611232676878193</v>
      </c>
      <c r="M35" s="32">
        <f t="shared" si="18"/>
        <v>0.0016950301715370534</v>
      </c>
      <c r="N35" s="32">
        <f t="shared" si="19"/>
        <v>0.0012789115646258504</v>
      </c>
      <c r="O35" s="32">
        <f t="shared" si="20"/>
        <v>0.0011981833993622573</v>
      </c>
      <c r="P35" s="32">
        <f t="shared" si="21"/>
        <v>0.000561955605507165</v>
      </c>
      <c r="Q35" s="32">
        <f t="shared" si="22"/>
        <v>0.0010872010197195772</v>
      </c>
    </row>
    <row r="36" spans="1:17" ht="12.75">
      <c r="A36" s="16" t="s">
        <v>4</v>
      </c>
      <c r="B36" s="37">
        <f>'VEIÐUHAGTØL 1998-2002'!D7</f>
        <v>2124</v>
      </c>
      <c r="C36" s="37">
        <f>'VEIÐUHAGTØL 1998-2002'!D18</f>
        <v>1736</v>
      </c>
      <c r="D36" s="37">
        <f>'VEIÐUHAGTØL 1998-2002'!D29</f>
        <v>1484</v>
      </c>
      <c r="E36" s="37">
        <f>'VEIÐUHAGTØL 1998-2002'!D40</f>
        <v>1100</v>
      </c>
      <c r="F36" s="37">
        <f>'VEIÐUHAGTØL 1998-2002'!D51</f>
        <v>1063</v>
      </c>
      <c r="G36" s="37">
        <v>470</v>
      </c>
      <c r="H36" s="70">
        <f>80+214</f>
        <v>294</v>
      </c>
      <c r="I36" s="72"/>
      <c r="J36" s="16" t="s">
        <v>4</v>
      </c>
      <c r="K36" s="32">
        <f t="shared" si="16"/>
        <v>0.09502930517650217</v>
      </c>
      <c r="L36" s="32">
        <f t="shared" si="17"/>
        <v>0.06331145149525894</v>
      </c>
      <c r="M36" s="32">
        <f t="shared" si="18"/>
        <v>0.05030849549121975</v>
      </c>
      <c r="N36" s="32">
        <f t="shared" si="19"/>
        <v>0.029931972789115645</v>
      </c>
      <c r="O36" s="32">
        <f t="shared" si="20"/>
        <v>0.020543047637452894</v>
      </c>
      <c r="P36" s="32">
        <f t="shared" si="21"/>
        <v>0.01015842825339875</v>
      </c>
      <c r="Q36" s="32">
        <f t="shared" si="22"/>
        <v>0.011021968958536403</v>
      </c>
    </row>
    <row r="37" spans="1:17" ht="12.75">
      <c r="A37" s="16" t="s">
        <v>5</v>
      </c>
      <c r="B37" s="37">
        <f>'VEIÐUHAGTØL 1998-2002'!D8</f>
        <v>236</v>
      </c>
      <c r="C37" s="37">
        <f>'VEIÐUHAGTØL 1998-2002'!D19</f>
        <v>119</v>
      </c>
      <c r="D37" s="37">
        <f>'VEIÐUHAGTØL 1998-2002'!D30</f>
        <v>161</v>
      </c>
      <c r="E37" s="37">
        <f>'VEIÐUHAGTØL 1998-2002'!D41</f>
        <v>492</v>
      </c>
      <c r="F37" s="37">
        <f>'VEIÐUHAGTØL 1998-2002'!D52</f>
        <v>232</v>
      </c>
      <c r="G37" s="37">
        <v>57</v>
      </c>
      <c r="H37" s="70">
        <f>65+2</f>
        <v>67</v>
      </c>
      <c r="I37" s="72"/>
      <c r="J37" s="16" t="s">
        <v>5</v>
      </c>
      <c r="K37" s="32">
        <f t="shared" si="16"/>
        <v>0.010558811686278018</v>
      </c>
      <c r="L37" s="32">
        <f t="shared" si="17"/>
        <v>0.004339897884755653</v>
      </c>
      <c r="M37" s="32">
        <f t="shared" si="18"/>
        <v>0.005457997152349312</v>
      </c>
      <c r="N37" s="32">
        <f t="shared" si="19"/>
        <v>0.013387755102040816</v>
      </c>
      <c r="O37" s="32">
        <f t="shared" si="20"/>
        <v>0.004483524978258769</v>
      </c>
      <c r="P37" s="32">
        <f t="shared" si="21"/>
        <v>0.0012319795966887848</v>
      </c>
      <c r="Q37" s="32">
        <f t="shared" si="22"/>
        <v>0.0025118092524555745</v>
      </c>
    </row>
    <row r="38" spans="1:17" ht="12.75">
      <c r="A38" s="16" t="s">
        <v>6</v>
      </c>
      <c r="B38" s="37">
        <f>'VEIÐUHAGTØL 1998-2002'!D9</f>
        <v>43</v>
      </c>
      <c r="C38" s="37">
        <f>'VEIÐUHAGTØL 1998-2002'!D20</f>
        <v>310</v>
      </c>
      <c r="D38" s="37">
        <f>'VEIÐUHAGTØL 1998-2002'!D31</f>
        <v>71</v>
      </c>
      <c r="E38" s="37">
        <f>'VEIÐUHAGTØL 1998-2002'!D42</f>
        <v>174</v>
      </c>
      <c r="F38" s="37">
        <f>'VEIÐUHAGTØL 1998-2002'!D53</f>
        <v>9</v>
      </c>
      <c r="G38" s="37">
        <v>9</v>
      </c>
      <c r="H38" s="15">
        <v>9</v>
      </c>
      <c r="I38" s="72"/>
      <c r="J38" s="16" t="s">
        <v>6</v>
      </c>
      <c r="K38" s="32">
        <f t="shared" si="16"/>
        <v>0.0019238512818218424</v>
      </c>
      <c r="L38" s="32">
        <f t="shared" si="17"/>
        <v>0.011305616338439095</v>
      </c>
      <c r="M38" s="32">
        <f t="shared" si="18"/>
        <v>0.0024069428435826157</v>
      </c>
      <c r="N38" s="32">
        <f t="shared" si="19"/>
        <v>0.0047346938775510205</v>
      </c>
      <c r="O38" s="32">
        <f t="shared" si="20"/>
        <v>0.0001739298482945212</v>
      </c>
      <c r="P38" s="32">
        <f t="shared" si="21"/>
        <v>0.00019452309421401863</v>
      </c>
      <c r="Q38" s="32">
        <f t="shared" si="22"/>
        <v>0.0003374072130164205</v>
      </c>
    </row>
    <row r="39" spans="1:17" ht="12.75">
      <c r="A39" s="16"/>
      <c r="B39" s="15"/>
      <c r="C39" s="15"/>
      <c r="D39" s="15"/>
      <c r="E39" s="15"/>
      <c r="F39" s="15"/>
      <c r="G39" s="15"/>
      <c r="H39" s="15"/>
      <c r="I39" s="73"/>
      <c r="J39" s="16"/>
      <c r="K39" s="15"/>
      <c r="L39" s="15"/>
      <c r="M39" s="15"/>
      <c r="N39" s="15"/>
      <c r="O39" s="15"/>
      <c r="P39" s="32" t="s">
        <v>19</v>
      </c>
      <c r="Q39" s="32" t="s">
        <v>19</v>
      </c>
    </row>
    <row r="40" spans="1:17" ht="12.75">
      <c r="A40" s="16" t="s">
        <v>7</v>
      </c>
      <c r="B40" s="16">
        <f aca="true" t="shared" si="23" ref="B40:G40">SUM(B33:B38)</f>
        <v>22351</v>
      </c>
      <c r="C40" s="16">
        <f t="shared" si="23"/>
        <v>27420</v>
      </c>
      <c r="D40" s="16">
        <f t="shared" si="23"/>
        <v>29498</v>
      </c>
      <c r="E40" s="16">
        <f t="shared" si="23"/>
        <v>36750</v>
      </c>
      <c r="F40" s="16">
        <f t="shared" si="23"/>
        <v>51745</v>
      </c>
      <c r="G40" s="38">
        <f t="shared" si="23"/>
        <v>46267</v>
      </c>
      <c r="H40" s="16">
        <f>SUM(H33:H38)</f>
        <v>26674</v>
      </c>
      <c r="I40" s="55"/>
      <c r="J40" s="16" t="s">
        <v>7</v>
      </c>
      <c r="K40" s="34">
        <f aca="true" t="shared" si="24" ref="K40:P40">SUM(K33:K38)</f>
        <v>1</v>
      </c>
      <c r="L40" s="34">
        <f t="shared" si="24"/>
        <v>1</v>
      </c>
      <c r="M40" s="34">
        <f t="shared" si="24"/>
        <v>1</v>
      </c>
      <c r="N40" s="34">
        <f t="shared" si="24"/>
        <v>1</v>
      </c>
      <c r="O40" s="34">
        <f t="shared" si="24"/>
        <v>1</v>
      </c>
      <c r="P40" s="34">
        <f t="shared" si="24"/>
        <v>1</v>
      </c>
      <c r="Q40" s="34">
        <f>SUM(Q33:Q38)</f>
        <v>1</v>
      </c>
    </row>
    <row r="42" spans="1:17" ht="15.75">
      <c r="A42" s="15"/>
      <c r="B42" s="15"/>
      <c r="C42" s="71" t="s">
        <v>29</v>
      </c>
      <c r="D42" s="16"/>
      <c r="E42" s="16"/>
      <c r="F42" s="15"/>
      <c r="G42" s="15"/>
      <c r="H42" s="15"/>
      <c r="J42" s="15"/>
      <c r="K42" s="15"/>
      <c r="L42" s="71" t="s">
        <v>30</v>
      </c>
      <c r="M42" s="16"/>
      <c r="N42" s="16"/>
      <c r="O42" s="15"/>
      <c r="P42" s="15"/>
      <c r="Q42" s="15"/>
    </row>
    <row r="43" spans="1:17" ht="12.75">
      <c r="A43" s="15"/>
      <c r="B43" s="16">
        <v>1998</v>
      </c>
      <c r="C43" s="16">
        <v>1999</v>
      </c>
      <c r="D43" s="16">
        <v>2000</v>
      </c>
      <c r="E43" s="16">
        <v>2001</v>
      </c>
      <c r="F43" s="16">
        <v>2002</v>
      </c>
      <c r="G43" s="16">
        <v>2003</v>
      </c>
      <c r="H43" s="16">
        <v>2004</v>
      </c>
      <c r="I43" s="55"/>
      <c r="J43" s="15"/>
      <c r="K43" s="16">
        <v>1998</v>
      </c>
      <c r="L43" s="16">
        <v>1999</v>
      </c>
      <c r="M43" s="16">
        <v>2000</v>
      </c>
      <c r="N43" s="16">
        <v>2001</v>
      </c>
      <c r="O43" s="16">
        <v>2002</v>
      </c>
      <c r="P43" s="54">
        <v>2003</v>
      </c>
      <c r="Q43" s="54">
        <v>2004</v>
      </c>
    </row>
    <row r="44" spans="1:17" ht="12.75">
      <c r="A44" s="16" t="s">
        <v>1</v>
      </c>
      <c r="B44" s="37">
        <f>'VEIÐUHAGTØL 1998-2002'!E4</f>
        <v>5612</v>
      </c>
      <c r="C44" s="37">
        <f>'VEIÐUHAGTØL 1998-2002'!E15</f>
        <v>5816</v>
      </c>
      <c r="D44" s="37">
        <f>'VEIÐUHAGTØL 1998-2002'!E26</f>
        <v>4511</v>
      </c>
      <c r="E44" s="37">
        <f>'VEIÐUHAGTØL 1998-2002'!E37</f>
        <v>4773</v>
      </c>
      <c r="F44" s="37">
        <f>'VEIÐUHAGTØL 1998-2002'!E48</f>
        <v>3143</v>
      </c>
      <c r="G44" s="37">
        <v>2848</v>
      </c>
      <c r="H44" s="15">
        <f>1206+768</f>
        <v>1974</v>
      </c>
      <c r="I44" s="72"/>
      <c r="J44" s="16" t="s">
        <v>1</v>
      </c>
      <c r="K44" s="32">
        <f aca="true" t="shared" si="25" ref="K44:K49">B44/$B$51</f>
        <v>0.8648482046540299</v>
      </c>
      <c r="L44" s="32">
        <f aca="true" t="shared" si="26" ref="L44:L49">C44/$C$51</f>
        <v>0.8784171575290741</v>
      </c>
      <c r="M44" s="32">
        <f aca="true" t="shared" si="27" ref="M44:M49">D44/$D$51</f>
        <v>0.8333179391498716</v>
      </c>
      <c r="N44" s="32">
        <f aca="true" t="shared" si="28" ref="N44:N49">E44/$E$51</f>
        <v>0.8566044508255564</v>
      </c>
      <c r="O44" s="32">
        <f aca="true" t="shared" si="29" ref="O44:O49">F44/$F$51</f>
        <v>0.8328916684333263</v>
      </c>
      <c r="P44" s="32">
        <f aca="true" t="shared" si="30" ref="P44:P49">G44/$G$51</f>
        <v>0.8039974028173785</v>
      </c>
      <c r="Q44" s="32">
        <f aca="true" t="shared" si="31" ref="Q44:Q49">H44/$H$51</f>
        <v>0.7953263497179693</v>
      </c>
    </row>
    <row r="45" spans="1:17" ht="12.75">
      <c r="A45" s="16" t="s">
        <v>2</v>
      </c>
      <c r="B45" s="37">
        <f>'VEIÐUHAGTØL 1998-2002'!E5</f>
        <v>643</v>
      </c>
      <c r="C45" s="37">
        <f>'VEIÐUHAGTØL 1998-2002'!E16</f>
        <v>579</v>
      </c>
      <c r="D45" s="37">
        <f>'VEIÐUHAGTØL 1998-2002'!E27</f>
        <v>709</v>
      </c>
      <c r="E45" s="37">
        <f>'VEIÐUHAGTØL 1998-2002'!E38</f>
        <v>636</v>
      </c>
      <c r="F45" s="37">
        <f>'VEIÐUHAGTØL 1998-2002'!E49</f>
        <v>472</v>
      </c>
      <c r="G45" s="37">
        <v>460</v>
      </c>
      <c r="H45" s="15">
        <f>77+284</f>
        <v>361</v>
      </c>
      <c r="I45" s="72"/>
      <c r="J45" s="16" t="s">
        <v>2</v>
      </c>
      <c r="K45" s="32">
        <f t="shared" si="25"/>
        <v>0.09909076899368162</v>
      </c>
      <c r="L45" s="32">
        <f t="shared" si="26"/>
        <v>0.08744902582691437</v>
      </c>
      <c r="M45" s="32">
        <f t="shared" si="27"/>
        <v>0.13097371289232076</v>
      </c>
      <c r="N45" s="32">
        <f t="shared" si="28"/>
        <v>0.11414213926776741</v>
      </c>
      <c r="O45" s="32">
        <f t="shared" si="29"/>
        <v>0.12507949968200127</v>
      </c>
      <c r="P45" s="32">
        <f t="shared" si="30"/>
        <v>0.12985913107303165</v>
      </c>
      <c r="Q45" s="32">
        <f t="shared" si="31"/>
        <v>0.14544721998388396</v>
      </c>
    </row>
    <row r="46" spans="1:17" ht="12.75">
      <c r="A46" s="16" t="s">
        <v>3</v>
      </c>
      <c r="B46" s="37">
        <f>'VEIÐUHAGTØL 1998-2002'!E6</f>
        <v>67</v>
      </c>
      <c r="C46" s="37">
        <f>'VEIÐUHAGTØL 1998-2002'!E17</f>
        <v>101</v>
      </c>
      <c r="D46" s="37">
        <f>'VEIÐUHAGTØL 1998-2002'!E28</f>
        <v>76</v>
      </c>
      <c r="E46" s="37">
        <f>'VEIÐUHAGTØL 1998-2002'!E39</f>
        <v>31</v>
      </c>
      <c r="F46" s="37">
        <f>'VEIÐUHAGTØL 1998-2002'!E50</f>
        <v>45</v>
      </c>
      <c r="G46" s="37">
        <v>20</v>
      </c>
      <c r="H46" s="15">
        <f>3+7</f>
        <v>10</v>
      </c>
      <c r="I46" s="72"/>
      <c r="J46" s="16" t="s">
        <v>3</v>
      </c>
      <c r="K46" s="32">
        <f t="shared" si="25"/>
        <v>0.01032516566497149</v>
      </c>
      <c r="L46" s="32">
        <f t="shared" si="26"/>
        <v>0.015254493278960881</v>
      </c>
      <c r="M46" s="32">
        <f t="shared" si="27"/>
        <v>0.01403949531708939</v>
      </c>
      <c r="N46" s="32">
        <f t="shared" si="28"/>
        <v>0.005563531945441493</v>
      </c>
      <c r="O46" s="32">
        <f t="shared" si="29"/>
        <v>0.0119249523001908</v>
      </c>
      <c r="P46" s="32">
        <f t="shared" si="30"/>
        <v>0.005646049177088332</v>
      </c>
      <c r="Q46" s="32">
        <f t="shared" si="31"/>
        <v>0.0040290088638195</v>
      </c>
    </row>
    <row r="47" spans="1:17" ht="12.75">
      <c r="A47" s="16" t="s">
        <v>4</v>
      </c>
      <c r="B47" s="37">
        <f>'VEIÐUHAGTØL 1998-2002'!E7</f>
        <v>98</v>
      </c>
      <c r="C47" s="37">
        <f>'VEIÐUHAGTØL 1998-2002'!E18</f>
        <v>40</v>
      </c>
      <c r="D47" s="37">
        <f>'VEIÐUHAGTØL 1998-2002'!E29</f>
        <v>19</v>
      </c>
      <c r="E47" s="37">
        <f>'VEIÐUHAGTØL 1998-2002'!E40</f>
        <v>13</v>
      </c>
      <c r="F47" s="37">
        <f>'VEIÐUHAGTØL 1998-2002'!E51</f>
        <v>19</v>
      </c>
      <c r="G47" s="37">
        <v>41</v>
      </c>
      <c r="H47" s="70">
        <f>11+26</f>
        <v>37</v>
      </c>
      <c r="I47" s="72"/>
      <c r="J47" s="16" t="s">
        <v>4</v>
      </c>
      <c r="K47" s="32">
        <f t="shared" si="25"/>
        <v>0.015102481121898598</v>
      </c>
      <c r="L47" s="32">
        <f t="shared" si="26"/>
        <v>0.006041383476816191</v>
      </c>
      <c r="M47" s="32">
        <f t="shared" si="27"/>
        <v>0.0035098738292723476</v>
      </c>
      <c r="N47" s="32">
        <f t="shared" si="28"/>
        <v>0.002333094041636755</v>
      </c>
      <c r="O47" s="32">
        <f t="shared" si="29"/>
        <v>0.00503497986008056</v>
      </c>
      <c r="P47" s="32">
        <f t="shared" si="30"/>
        <v>0.01157440081303108</v>
      </c>
      <c r="Q47" s="32">
        <f t="shared" si="31"/>
        <v>0.014907332796132152</v>
      </c>
    </row>
    <row r="48" spans="1:17" ht="12.75">
      <c r="A48" s="16" t="s">
        <v>5</v>
      </c>
      <c r="B48" s="37">
        <f>'VEIÐUHAGTØL 1998-2002'!E8</f>
        <v>2</v>
      </c>
      <c r="C48" s="37">
        <f>'VEIÐUHAGTØL 1998-2002'!E19</f>
        <v>1</v>
      </c>
      <c r="D48" s="37">
        <f>'VEIÐUHAGTØL 1998-2002'!E30</f>
        <v>1.3</v>
      </c>
      <c r="E48" s="37">
        <f>'VEIÐUHAGTØL 1998-2002'!E41</f>
        <v>4</v>
      </c>
      <c r="F48" s="37">
        <f>'VEIÐUHAGTØL 1998-2002'!E52</f>
        <v>0.6</v>
      </c>
      <c r="G48" s="37">
        <v>0.3</v>
      </c>
      <c r="H48" s="70">
        <f>1</f>
        <v>1</v>
      </c>
      <c r="I48" s="72"/>
      <c r="J48" s="16" t="s">
        <v>5</v>
      </c>
      <c r="K48" s="32">
        <f t="shared" si="25"/>
        <v>0.0003082139004469102</v>
      </c>
      <c r="L48" s="32">
        <f t="shared" si="26"/>
        <v>0.00015103458692040478</v>
      </c>
      <c r="M48" s="32">
        <f t="shared" si="27"/>
        <v>0.00024014926200284484</v>
      </c>
      <c r="N48" s="32">
        <f t="shared" si="28"/>
        <v>0.0007178750897343862</v>
      </c>
      <c r="O48" s="32">
        <f t="shared" si="29"/>
        <v>0.00015899936400254398</v>
      </c>
      <c r="P48" s="32">
        <f t="shared" si="30"/>
        <v>8.469073765632498E-05</v>
      </c>
      <c r="Q48" s="32">
        <f t="shared" si="31"/>
        <v>0.00040290088638195</v>
      </c>
    </row>
    <row r="49" spans="1:17" ht="12.75">
      <c r="A49" s="16" t="s">
        <v>6</v>
      </c>
      <c r="B49" s="37">
        <f>'VEIÐUHAGTØL 1998-2002'!E9</f>
        <v>67</v>
      </c>
      <c r="C49" s="37">
        <f>'VEIÐUHAGTØL 1998-2002'!E20</f>
        <v>84</v>
      </c>
      <c r="D49" s="37">
        <f>'VEIÐUHAGTØL 1998-2002'!E31</f>
        <v>97</v>
      </c>
      <c r="E49" s="37">
        <f>'VEIÐUHAGTØL 1998-2002'!E42</f>
        <v>115</v>
      </c>
      <c r="F49" s="37">
        <f>'VEIÐUHAGTØL 1998-2002'!E53</f>
        <v>94</v>
      </c>
      <c r="G49" s="37">
        <v>173</v>
      </c>
      <c r="H49" s="15">
        <f>37+62</f>
        <v>99</v>
      </c>
      <c r="I49" s="72"/>
      <c r="J49" s="16" t="s">
        <v>6</v>
      </c>
      <c r="K49" s="32">
        <f t="shared" si="25"/>
        <v>0.01032516566497149</v>
      </c>
      <c r="L49" s="32">
        <f t="shared" si="26"/>
        <v>0.012686905301314002</v>
      </c>
      <c r="M49" s="32">
        <f t="shared" si="27"/>
        <v>0.017918829549443037</v>
      </c>
      <c r="N49" s="32">
        <f t="shared" si="28"/>
        <v>0.020638908829863602</v>
      </c>
      <c r="O49" s="32">
        <f t="shared" si="29"/>
        <v>0.02490990036039856</v>
      </c>
      <c r="P49" s="32">
        <f t="shared" si="30"/>
        <v>0.048838325381814075</v>
      </c>
      <c r="Q49" s="32">
        <f t="shared" si="31"/>
        <v>0.039887187751813054</v>
      </c>
    </row>
    <row r="50" spans="1:17" ht="12.75">
      <c r="A50" s="16"/>
      <c r="B50" s="15"/>
      <c r="C50" s="15"/>
      <c r="D50" s="15"/>
      <c r="E50" s="15"/>
      <c r="F50" s="15"/>
      <c r="G50" s="15"/>
      <c r="H50" s="15"/>
      <c r="I50" s="73"/>
      <c r="J50" s="16"/>
      <c r="K50" s="15"/>
      <c r="L50" s="15"/>
      <c r="M50" s="15"/>
      <c r="N50" s="15"/>
      <c r="O50" s="15"/>
      <c r="P50" s="32" t="s">
        <v>19</v>
      </c>
      <c r="Q50" s="32" t="s">
        <v>19</v>
      </c>
    </row>
    <row r="51" spans="1:17" ht="12.75">
      <c r="A51" s="16" t="s">
        <v>7</v>
      </c>
      <c r="B51" s="16">
        <f aca="true" t="shared" si="32" ref="B51:G51">SUM(B44:B49)</f>
        <v>6489</v>
      </c>
      <c r="C51" s="16">
        <f t="shared" si="32"/>
        <v>6621</v>
      </c>
      <c r="D51" s="16">
        <f t="shared" si="32"/>
        <v>5413.3</v>
      </c>
      <c r="E51" s="16">
        <f t="shared" si="32"/>
        <v>5572</v>
      </c>
      <c r="F51" s="38">
        <f t="shared" si="32"/>
        <v>3773.6</v>
      </c>
      <c r="G51" s="38">
        <f t="shared" si="32"/>
        <v>3542.3</v>
      </c>
      <c r="H51" s="16">
        <f>SUM(H44:H49)</f>
        <v>2482</v>
      </c>
      <c r="I51" s="74"/>
      <c r="J51" s="16" t="s">
        <v>7</v>
      </c>
      <c r="K51" s="34">
        <f>SUM(K44:K49)</f>
        <v>0.9999999999999999</v>
      </c>
      <c r="L51" s="34">
        <f>SUM(L44:L49)</f>
        <v>1</v>
      </c>
      <c r="M51" s="34">
        <f>SUM(M44:M49)</f>
        <v>1</v>
      </c>
      <c r="N51" s="34">
        <f>SUM(N44:N49)</f>
        <v>1</v>
      </c>
      <c r="O51" s="34">
        <f>SUM(O44:O49)</f>
        <v>1</v>
      </c>
      <c r="P51" s="34">
        <f>G51/$G$51</f>
        <v>1</v>
      </c>
      <c r="Q51" s="34">
        <f>H51/$H$51</f>
        <v>1</v>
      </c>
    </row>
    <row r="53" spans="1:17" ht="15.75">
      <c r="A53" s="15"/>
      <c r="B53" s="15"/>
      <c r="C53" s="71" t="s">
        <v>31</v>
      </c>
      <c r="D53" s="15"/>
      <c r="E53" s="15"/>
      <c r="F53" s="15"/>
      <c r="G53" s="15"/>
      <c r="H53" s="15"/>
      <c r="J53" s="15"/>
      <c r="K53" s="15"/>
      <c r="L53" s="71" t="s">
        <v>32</v>
      </c>
      <c r="M53" s="15"/>
      <c r="N53" s="15"/>
      <c r="O53" s="15"/>
      <c r="P53" s="15"/>
      <c r="Q53" s="15"/>
    </row>
    <row r="54" spans="1:17" ht="12.75">
      <c r="A54" s="15"/>
      <c r="B54" s="16">
        <v>1998</v>
      </c>
      <c r="C54" s="16">
        <v>1999</v>
      </c>
      <c r="D54" s="16">
        <v>2000</v>
      </c>
      <c r="E54" s="16">
        <v>2001</v>
      </c>
      <c r="F54" s="16">
        <v>2002</v>
      </c>
      <c r="G54" s="16">
        <v>2003</v>
      </c>
      <c r="H54" s="16">
        <v>2004</v>
      </c>
      <c r="I54" s="55"/>
      <c r="J54" s="15"/>
      <c r="K54" s="16">
        <v>1998</v>
      </c>
      <c r="L54" s="16">
        <v>1999</v>
      </c>
      <c r="M54" s="16">
        <v>2000</v>
      </c>
      <c r="N54" s="16">
        <v>2001</v>
      </c>
      <c r="O54" s="16">
        <v>2002</v>
      </c>
      <c r="P54" s="54">
        <v>2003</v>
      </c>
      <c r="Q54" s="54">
        <v>2004</v>
      </c>
    </row>
    <row r="55" spans="1:17" ht="12.75">
      <c r="A55" s="16" t="s">
        <v>1</v>
      </c>
      <c r="B55" s="37">
        <f>'VEIÐUHAGTØL 1998-2002'!F4</f>
        <v>800</v>
      </c>
      <c r="C55" s="37">
        <f>'VEIÐUHAGTØL 1998-2002'!F15</f>
        <v>1017</v>
      </c>
      <c r="D55" s="37">
        <f>'VEIÐUHAGTØL 1998-2002'!F26</f>
        <v>1169</v>
      </c>
      <c r="E55" s="37">
        <f>'VEIÐUHAGTØL 1998-2002'!F37</f>
        <v>977</v>
      </c>
      <c r="F55" s="37">
        <f>'VEIÐUHAGTØL 1998-2002'!F48</f>
        <v>474</v>
      </c>
      <c r="G55" s="37">
        <v>374</v>
      </c>
      <c r="H55" s="15">
        <f>113+192</f>
        <v>305</v>
      </c>
      <c r="I55" s="72"/>
      <c r="J55" s="16" t="s">
        <v>1</v>
      </c>
      <c r="K55" s="32">
        <f aca="true" t="shared" si="33" ref="K55:K60">B55/$B$62</f>
        <v>0.24040628662439525</v>
      </c>
      <c r="L55" s="32">
        <f aca="true" t="shared" si="34" ref="L55:L60">C55/$C$62</f>
        <v>0.3010389841044312</v>
      </c>
      <c r="M55" s="32">
        <f aca="true" t="shared" si="35" ref="M55:M60">D55/$D$62</f>
        <v>0.30562091503267974</v>
      </c>
      <c r="N55" s="32">
        <f aca="true" t="shared" si="36" ref="N55:N60">E55/$E$62</f>
        <v>0.2533713692946058</v>
      </c>
      <c r="O55" s="32">
        <f aca="true" t="shared" si="37" ref="O55:O60">F55/$F$62</f>
        <v>0.20239111870196413</v>
      </c>
      <c r="P55" s="32">
        <f aca="true" t="shared" si="38" ref="P55:P60">G55/$G$62</f>
        <v>0.17435897435897435</v>
      </c>
      <c r="Q55" s="32">
        <f aca="true" t="shared" si="39" ref="Q55:Q60">H55/$H$62</f>
        <v>0.21585279547062985</v>
      </c>
    </row>
    <row r="56" spans="1:17" ht="12.75">
      <c r="A56" s="16" t="s">
        <v>2</v>
      </c>
      <c r="B56" s="37">
        <f>'VEIÐUHAGTØL 1998-2002'!F5</f>
        <v>0.5</v>
      </c>
      <c r="C56" s="37">
        <f>'VEIÐUHAGTØL 1998-2002'!F16</f>
        <v>0.2</v>
      </c>
      <c r="D56" s="37">
        <f>'VEIÐUHAGTØL 1998-2002'!F27</f>
        <v>21</v>
      </c>
      <c r="E56" s="37">
        <f>'VEIÐUHAGTØL 1998-2002'!F38</f>
        <v>1</v>
      </c>
      <c r="F56" s="37">
        <f>'VEIÐUHAGTØL 1998-2002'!F49</f>
        <v>1</v>
      </c>
      <c r="G56" s="37">
        <v>2</v>
      </c>
      <c r="H56" s="15">
        <f>3+28</f>
        <v>31</v>
      </c>
      <c r="I56" s="72"/>
      <c r="J56" s="16" t="s">
        <v>2</v>
      </c>
      <c r="K56" s="32">
        <f t="shared" si="33"/>
        <v>0.000150253929140247</v>
      </c>
      <c r="L56" s="32">
        <f t="shared" si="34"/>
        <v>5.920137347186455E-05</v>
      </c>
      <c r="M56" s="32">
        <f t="shared" si="35"/>
        <v>0.005490196078431373</v>
      </c>
      <c r="N56" s="32">
        <f t="shared" si="36"/>
        <v>0.00025933609958506224</v>
      </c>
      <c r="O56" s="32">
        <f t="shared" si="37"/>
        <v>0.0004269854824935952</v>
      </c>
      <c r="P56" s="32">
        <f t="shared" si="38"/>
        <v>0.0009324009324009324</v>
      </c>
      <c r="Q56" s="32">
        <f t="shared" si="39"/>
        <v>0.021939136588818117</v>
      </c>
    </row>
    <row r="57" spans="1:17" ht="12.75">
      <c r="A57" s="16" t="s">
        <v>3</v>
      </c>
      <c r="B57" s="37">
        <f>'VEIÐUHAGTØL 1998-2002'!F6</f>
        <v>751</v>
      </c>
      <c r="C57" s="37">
        <f>'VEIÐUHAGTØL 1998-2002'!F17</f>
        <v>510</v>
      </c>
      <c r="D57" s="37">
        <f>'VEIÐUHAGTØL 1998-2002'!F28</f>
        <v>529</v>
      </c>
      <c r="E57" s="37">
        <f>'VEIÐUHAGTØL 1998-2002'!F39</f>
        <v>739</v>
      </c>
      <c r="F57" s="37">
        <f>'VEIÐUHAGTØL 1998-2002'!F50</f>
        <v>380</v>
      </c>
      <c r="G57" s="37">
        <v>159</v>
      </c>
      <c r="H57" s="15">
        <v>129</v>
      </c>
      <c r="I57" s="72"/>
      <c r="J57" s="16" t="s">
        <v>3</v>
      </c>
      <c r="K57" s="32">
        <f t="shared" si="33"/>
        <v>0.22568140156865102</v>
      </c>
      <c r="L57" s="32">
        <f t="shared" si="34"/>
        <v>0.1509635023532546</v>
      </c>
      <c r="M57" s="32">
        <f t="shared" si="35"/>
        <v>0.13830065359477126</v>
      </c>
      <c r="N57" s="32">
        <f t="shared" si="36"/>
        <v>0.191649377593361</v>
      </c>
      <c r="O57" s="32">
        <f t="shared" si="37"/>
        <v>0.16225448334756618</v>
      </c>
      <c r="P57" s="32">
        <f t="shared" si="38"/>
        <v>0.07412587412587412</v>
      </c>
      <c r="Q57" s="32">
        <f t="shared" si="39"/>
        <v>0.09129511677282377</v>
      </c>
    </row>
    <row r="58" spans="1:17" ht="12.75">
      <c r="A58" s="16" t="s">
        <v>4</v>
      </c>
      <c r="B58" s="37">
        <f>'VEIÐUHAGTØL 1998-2002'!F7</f>
        <v>0.2</v>
      </c>
      <c r="C58" s="37">
        <f>'VEIÐUHAGTØL 1998-2002'!F18</f>
        <v>0.1</v>
      </c>
      <c r="D58" s="37">
        <f>'VEIÐUHAGTØL 1998-2002'!F29</f>
        <v>9</v>
      </c>
      <c r="E58" s="37">
        <f>'VEIÐUHAGTØL 1998-2002'!F40</f>
        <v>6</v>
      </c>
      <c r="F58" s="37">
        <f>'VEIÐUHAGTØL 1998-2002'!F51</f>
        <v>1</v>
      </c>
      <c r="G58" s="37">
        <v>10</v>
      </c>
      <c r="H58" s="70">
        <v>3</v>
      </c>
      <c r="I58" s="72"/>
      <c r="J58" s="16" t="s">
        <v>4</v>
      </c>
      <c r="K58" s="32">
        <f t="shared" si="33"/>
        <v>6.0101571656098814E-05</v>
      </c>
      <c r="L58" s="32">
        <f t="shared" si="34"/>
        <v>2.9600686735932275E-05</v>
      </c>
      <c r="M58" s="32">
        <f t="shared" si="35"/>
        <v>0.002352941176470588</v>
      </c>
      <c r="N58" s="32">
        <f t="shared" si="36"/>
        <v>0.0015560165975103733</v>
      </c>
      <c r="O58" s="32">
        <f t="shared" si="37"/>
        <v>0.0004269854824935952</v>
      </c>
      <c r="P58" s="32">
        <f t="shared" si="38"/>
        <v>0.004662004662004662</v>
      </c>
      <c r="Q58" s="32">
        <f t="shared" si="39"/>
        <v>0.0021231422505307855</v>
      </c>
    </row>
    <row r="59" spans="1:17" ht="12.75">
      <c r="A59" s="16" t="s">
        <v>5</v>
      </c>
      <c r="B59" s="37">
        <f>'VEIÐUHAGTØL 1998-2002'!F8</f>
        <v>0</v>
      </c>
      <c r="C59" s="37">
        <f>'VEIÐUHAGTØL 1998-2002'!F19</f>
        <v>0</v>
      </c>
      <c r="D59" s="37">
        <f>'VEIÐUHAGTØL 1998-2002'!F30</f>
        <v>0</v>
      </c>
      <c r="E59" s="37">
        <f>'VEIÐUHAGTØL 1998-2002'!F41</f>
        <v>0</v>
      </c>
      <c r="F59" s="37">
        <f>'VEIÐUHAGTØL 1998-2002'!F52</f>
        <v>0</v>
      </c>
      <c r="G59" s="37">
        <v>0</v>
      </c>
      <c r="H59" s="70">
        <v>0</v>
      </c>
      <c r="I59" s="72"/>
      <c r="J59" s="16" t="s">
        <v>5</v>
      </c>
      <c r="K59" s="32">
        <f t="shared" si="33"/>
        <v>0</v>
      </c>
      <c r="L59" s="32">
        <f t="shared" si="34"/>
        <v>0</v>
      </c>
      <c r="M59" s="32">
        <f t="shared" si="35"/>
        <v>0</v>
      </c>
      <c r="N59" s="32">
        <f t="shared" si="36"/>
        <v>0</v>
      </c>
      <c r="O59" s="32">
        <f t="shared" si="37"/>
        <v>0</v>
      </c>
      <c r="P59" s="32">
        <f t="shared" si="38"/>
        <v>0</v>
      </c>
      <c r="Q59" s="32">
        <f t="shared" si="39"/>
        <v>0</v>
      </c>
    </row>
    <row r="60" spans="1:17" ht="12.75">
      <c r="A60" s="16" t="s">
        <v>6</v>
      </c>
      <c r="B60" s="37">
        <f>'VEIÐUHAGTØL 1998-2002'!F9</f>
        <v>1776</v>
      </c>
      <c r="C60" s="37">
        <f>'VEIÐUHAGTØL 1998-2002'!F20</f>
        <v>1851</v>
      </c>
      <c r="D60" s="37">
        <f>'VEIÐUHAGTØL 1998-2002'!F31</f>
        <v>2097</v>
      </c>
      <c r="E60" s="37">
        <f>'VEIÐUHAGTØL 1998-2002'!F42</f>
        <v>2133</v>
      </c>
      <c r="F60" s="37">
        <f>'VEIÐUHAGTØL 1998-2002'!F53</f>
        <v>1486</v>
      </c>
      <c r="G60" s="37">
        <v>1600</v>
      </c>
      <c r="H60" s="15">
        <f>356+589</f>
        <v>945</v>
      </c>
      <c r="I60" s="72"/>
      <c r="J60" s="16" t="s">
        <v>6</v>
      </c>
      <c r="K60" s="32">
        <f t="shared" si="33"/>
        <v>0.5337019563061575</v>
      </c>
      <c r="L60" s="32">
        <f t="shared" si="34"/>
        <v>0.5479087114821064</v>
      </c>
      <c r="M60" s="32">
        <f t="shared" si="35"/>
        <v>0.548235294117647</v>
      </c>
      <c r="N60" s="32">
        <f t="shared" si="36"/>
        <v>0.5531639004149378</v>
      </c>
      <c r="O60" s="32">
        <f t="shared" si="37"/>
        <v>0.6345004269854825</v>
      </c>
      <c r="P60" s="32">
        <f t="shared" si="38"/>
        <v>0.745920745920746</v>
      </c>
      <c r="Q60" s="32">
        <f t="shared" si="39"/>
        <v>0.6687898089171974</v>
      </c>
    </row>
    <row r="61" spans="1:17" ht="12.75">
      <c r="A61" s="16"/>
      <c r="B61" s="38"/>
      <c r="C61" s="15"/>
      <c r="D61" s="15"/>
      <c r="E61" s="15"/>
      <c r="F61" s="15"/>
      <c r="G61" s="15"/>
      <c r="H61" s="15"/>
      <c r="I61" s="73"/>
      <c r="J61" s="16"/>
      <c r="K61" s="15"/>
      <c r="L61" s="15"/>
      <c r="M61" s="15"/>
      <c r="N61" s="15"/>
      <c r="O61" s="15"/>
      <c r="P61" s="32" t="s">
        <v>19</v>
      </c>
      <c r="Q61" s="32" t="s">
        <v>19</v>
      </c>
    </row>
    <row r="62" spans="1:17" ht="12.75">
      <c r="A62" s="16" t="s">
        <v>7</v>
      </c>
      <c r="B62" s="38">
        <f aca="true" t="shared" si="40" ref="B62:G62">SUM(B55:B60)</f>
        <v>3327.7</v>
      </c>
      <c r="C62" s="38">
        <f t="shared" si="40"/>
        <v>3378.3</v>
      </c>
      <c r="D62" s="38">
        <f t="shared" si="40"/>
        <v>3825</v>
      </c>
      <c r="E62" s="38">
        <f t="shared" si="40"/>
        <v>3856</v>
      </c>
      <c r="F62" s="38">
        <f t="shared" si="40"/>
        <v>2342</v>
      </c>
      <c r="G62" s="38">
        <f t="shared" si="40"/>
        <v>2145</v>
      </c>
      <c r="H62" s="16">
        <f>SUM(H55:H60)</f>
        <v>1413</v>
      </c>
      <c r="I62" s="74"/>
      <c r="J62" s="16" t="s">
        <v>7</v>
      </c>
      <c r="K62" s="34">
        <f>SUM(K55:K60)</f>
        <v>1</v>
      </c>
      <c r="L62" s="34">
        <f>SUM(L55:L60)</f>
        <v>1</v>
      </c>
      <c r="M62" s="34">
        <f>SUM(M55:M60)</f>
        <v>1</v>
      </c>
      <c r="N62" s="34">
        <f>SUM(N55:N60)</f>
        <v>1</v>
      </c>
      <c r="O62" s="34">
        <f>SUM(O55:O60)</f>
        <v>1</v>
      </c>
      <c r="P62" s="34">
        <f>G62/$G$62</f>
        <v>1</v>
      </c>
      <c r="Q62" s="34">
        <f>H62/$H$62</f>
        <v>1</v>
      </c>
    </row>
    <row r="63" spans="3:9" ht="15.75">
      <c r="C63" s="41" t="s">
        <v>33</v>
      </c>
      <c r="D63" s="41" t="s">
        <v>19</v>
      </c>
      <c r="E63" s="39" t="s">
        <v>19</v>
      </c>
      <c r="F63" s="39" t="s">
        <v>19</v>
      </c>
      <c r="G63" s="39"/>
      <c r="H63" s="39"/>
      <c r="I63" s="39"/>
    </row>
    <row r="64" spans="1:17" ht="15.75">
      <c r="A64" s="15"/>
      <c r="B64" s="15"/>
      <c r="C64" s="71" t="s">
        <v>34</v>
      </c>
      <c r="D64" s="71"/>
      <c r="E64" s="15"/>
      <c r="F64" s="15"/>
      <c r="G64" s="15"/>
      <c r="H64" s="15"/>
      <c r="J64" s="15"/>
      <c r="K64" s="15"/>
      <c r="L64" s="71" t="s">
        <v>35</v>
      </c>
      <c r="M64" s="71"/>
      <c r="N64" s="15"/>
      <c r="O64" s="15"/>
      <c r="P64" s="15"/>
      <c r="Q64" s="15"/>
    </row>
    <row r="65" spans="1:17" ht="12.75">
      <c r="A65" s="15"/>
      <c r="B65" s="16">
        <v>1998</v>
      </c>
      <c r="C65" s="16">
        <v>1999</v>
      </c>
      <c r="D65" s="16">
        <v>2000</v>
      </c>
      <c r="E65" s="16">
        <v>2001</v>
      </c>
      <c r="F65" s="16">
        <v>2002</v>
      </c>
      <c r="G65" s="16">
        <v>2003</v>
      </c>
      <c r="H65" s="16">
        <v>2004</v>
      </c>
      <c r="I65" s="55"/>
      <c r="J65" s="15"/>
      <c r="K65" s="16">
        <v>1998</v>
      </c>
      <c r="L65" s="16">
        <v>1999</v>
      </c>
      <c r="M65" s="16">
        <v>2000</v>
      </c>
      <c r="N65" s="16">
        <v>2001</v>
      </c>
      <c r="O65" s="16">
        <v>2002</v>
      </c>
      <c r="P65" s="54">
        <v>2003</v>
      </c>
      <c r="Q65" s="54">
        <v>2004</v>
      </c>
    </row>
    <row r="66" spans="1:17" ht="12.75">
      <c r="A66" s="16" t="s">
        <v>1</v>
      </c>
      <c r="B66" s="37">
        <f>'VEIÐUHAGTØL 1998-2002'!G4</f>
        <v>109</v>
      </c>
      <c r="C66" s="37">
        <f>'VEIÐUHAGTØL 1998-2002'!G15</f>
        <v>80</v>
      </c>
      <c r="D66" s="37">
        <f>'VEIÐUHAGTØL 1998-2002'!G26</f>
        <v>289</v>
      </c>
      <c r="E66" s="37">
        <f>'VEIÐUHAGTØL 1998-2002'!G37</f>
        <v>90</v>
      </c>
      <c r="F66" s="37">
        <f>'VEIÐUHAGTØL 1998-2002'!G48</f>
        <v>66</v>
      </c>
      <c r="G66" s="37">
        <v>96</v>
      </c>
      <c r="H66" s="15">
        <v>44</v>
      </c>
      <c r="I66" s="72"/>
      <c r="J66" s="16" t="s">
        <v>1</v>
      </c>
      <c r="K66" s="32">
        <f aca="true" t="shared" si="41" ref="K66:K71">B66/$B$73</f>
        <v>0.06150894419050844</v>
      </c>
      <c r="L66" s="32">
        <f aca="true" t="shared" si="42" ref="L66:L71">C66/$C$73</f>
        <v>0.04343105320304017</v>
      </c>
      <c r="M66" s="32">
        <f aca="true" t="shared" si="43" ref="M66:M71">D66/$D$73</f>
        <v>0.13798042492241586</v>
      </c>
      <c r="N66" s="32">
        <f aca="true" t="shared" si="44" ref="N66:N71">E66/$E$73</f>
        <v>0.04495504495504495</v>
      </c>
      <c r="O66" s="32">
        <f aca="true" t="shared" si="45" ref="O66:O71">F66/$F$73</f>
        <v>0.034250129735339904</v>
      </c>
      <c r="P66" s="32">
        <f aca="true" t="shared" si="46" ref="P66:P71">G66/$G$73</f>
        <v>0.04666990763247448</v>
      </c>
      <c r="Q66" s="32">
        <f aca="true" t="shared" si="47" ref="Q66:Q71">H66/$H$73</f>
        <v>0.020072992700729927</v>
      </c>
    </row>
    <row r="67" spans="1:17" ht="12.75">
      <c r="A67" s="16" t="s">
        <v>2</v>
      </c>
      <c r="B67" s="37">
        <f>'VEIÐUHAGTØL 1998-2002'!G5</f>
        <v>356</v>
      </c>
      <c r="C67" s="37">
        <f>'VEIÐUHAGTØL 1998-2002'!G16</f>
        <v>263</v>
      </c>
      <c r="D67" s="37">
        <f>'VEIÐUHAGTØL 1998-2002'!G27</f>
        <v>245</v>
      </c>
      <c r="E67" s="37">
        <f>'VEIÐUHAGTØL 1998-2002'!G38</f>
        <v>233</v>
      </c>
      <c r="F67" s="37">
        <f>'VEIÐUHAGTØL 1998-2002'!G49</f>
        <v>186</v>
      </c>
      <c r="G67" s="37">
        <v>235</v>
      </c>
      <c r="H67" s="15">
        <f>178+253</f>
        <v>431</v>
      </c>
      <c r="I67" s="72"/>
      <c r="J67" s="16" t="s">
        <v>2</v>
      </c>
      <c r="K67" s="32">
        <f t="shared" si="41"/>
        <v>0.20089159753964225</v>
      </c>
      <c r="L67" s="32">
        <f t="shared" si="42"/>
        <v>0.14277958740499458</v>
      </c>
      <c r="M67" s="32">
        <f t="shared" si="43"/>
        <v>0.11697302458820721</v>
      </c>
      <c r="N67" s="32">
        <f t="shared" si="44"/>
        <v>0.11638361638361638</v>
      </c>
      <c r="O67" s="32">
        <f t="shared" si="45"/>
        <v>0.09652309289050337</v>
      </c>
      <c r="P67" s="32">
        <f t="shared" si="46"/>
        <v>0.11424404472532815</v>
      </c>
      <c r="Q67" s="32">
        <f t="shared" si="47"/>
        <v>0.19662408759124086</v>
      </c>
    </row>
    <row r="68" spans="1:17" ht="12.75">
      <c r="A68" s="16" t="s">
        <v>3</v>
      </c>
      <c r="B68" s="37">
        <f>'VEIÐUHAGTØL 1998-2002'!G6</f>
        <v>67</v>
      </c>
      <c r="C68" s="37">
        <f>'VEIÐUHAGTØL 1998-2002'!G17</f>
        <v>56</v>
      </c>
      <c r="D68" s="37">
        <f>'VEIÐUHAGTØL 1998-2002'!G28</f>
        <v>98</v>
      </c>
      <c r="E68" s="37">
        <f>'VEIÐUHAGTØL 1998-2002'!G39</f>
        <v>88</v>
      </c>
      <c r="F68" s="37">
        <f>'VEIÐUHAGTØL 1998-2002'!G50</f>
        <v>149</v>
      </c>
      <c r="G68" s="37">
        <v>165</v>
      </c>
      <c r="H68" s="15">
        <f>72+139</f>
        <v>211</v>
      </c>
      <c r="I68" s="72"/>
      <c r="J68" s="16" t="s">
        <v>3</v>
      </c>
      <c r="K68" s="32">
        <f t="shared" si="41"/>
        <v>0.037808250098752896</v>
      </c>
      <c r="L68" s="32">
        <f t="shared" si="42"/>
        <v>0.03040173724212812</v>
      </c>
      <c r="M68" s="32">
        <f t="shared" si="43"/>
        <v>0.04678920983528288</v>
      </c>
      <c r="N68" s="32">
        <f t="shared" si="44"/>
        <v>0.04395604395604396</v>
      </c>
      <c r="O68" s="32">
        <f t="shared" si="45"/>
        <v>0.07732226258432798</v>
      </c>
      <c r="P68" s="32">
        <f t="shared" si="46"/>
        <v>0.08021390374331551</v>
      </c>
      <c r="Q68" s="32">
        <f t="shared" si="47"/>
        <v>0.09625912408759124</v>
      </c>
    </row>
    <row r="69" spans="1:17" ht="12.75">
      <c r="A69" s="16" t="s">
        <v>4</v>
      </c>
      <c r="B69" s="37">
        <f>'VEIÐUHAGTØL 1998-2002'!G7</f>
        <v>803</v>
      </c>
      <c r="C69" s="37">
        <f>'VEIÐUHAGTØL 1998-2002'!G18</f>
        <v>805</v>
      </c>
      <c r="D69" s="37">
        <f>'VEIÐUHAGTØL 1998-2002'!G29</f>
        <v>579</v>
      </c>
      <c r="E69" s="37">
        <f>'VEIÐUHAGTØL 1998-2002'!G40</f>
        <v>592</v>
      </c>
      <c r="F69" s="37">
        <f>'VEIÐUHAGTØL 1998-2002'!G51</f>
        <v>691</v>
      </c>
      <c r="G69" s="37">
        <v>849</v>
      </c>
      <c r="H69" s="70">
        <f>257+502</f>
        <v>759</v>
      </c>
      <c r="I69" s="72"/>
      <c r="J69" s="16" t="s">
        <v>4</v>
      </c>
      <c r="K69" s="32">
        <f t="shared" si="41"/>
        <v>0.45313469894475483</v>
      </c>
      <c r="L69" s="32">
        <f t="shared" si="42"/>
        <v>0.4370249728555918</v>
      </c>
      <c r="M69" s="32">
        <f t="shared" si="43"/>
        <v>0.27643829076151827</v>
      </c>
      <c r="N69" s="32">
        <f t="shared" si="44"/>
        <v>0.2957042957042957</v>
      </c>
      <c r="O69" s="32">
        <f t="shared" si="45"/>
        <v>0.35858847950181627</v>
      </c>
      <c r="P69" s="32">
        <f t="shared" si="46"/>
        <v>0.4127369956246962</v>
      </c>
      <c r="Q69" s="32">
        <f t="shared" si="47"/>
        <v>0.34625912408759124</v>
      </c>
    </row>
    <row r="70" spans="1:17" ht="12.75">
      <c r="A70" s="16" t="s">
        <v>5</v>
      </c>
      <c r="B70" s="37">
        <f>'VEIÐUHAGTØL 1998-2002'!G8</f>
        <v>3.1</v>
      </c>
      <c r="C70" s="37">
        <f>'VEIÐUHAGTØL 1998-2002'!G19</f>
        <v>2</v>
      </c>
      <c r="D70" s="37">
        <f>'VEIÐUHAGTØL 1998-2002'!G30</f>
        <v>3.5</v>
      </c>
      <c r="E70" s="37">
        <f>'VEIÐUHAGTØL 1998-2002'!G41</f>
        <v>17</v>
      </c>
      <c r="F70" s="37">
        <f>'VEIÐUHAGTØL 1998-2002'!G52</f>
        <v>4</v>
      </c>
      <c r="G70" s="37">
        <v>5</v>
      </c>
      <c r="H70" s="70">
        <v>6</v>
      </c>
      <c r="I70" s="72"/>
      <c r="J70" s="16" t="s">
        <v>5</v>
      </c>
      <c r="K70" s="32">
        <f t="shared" si="41"/>
        <v>0.0017493369448676713</v>
      </c>
      <c r="L70" s="32">
        <f t="shared" si="42"/>
        <v>0.0010857763300760044</v>
      </c>
      <c r="M70" s="32">
        <f t="shared" si="43"/>
        <v>0.0016710432084029601</v>
      </c>
      <c r="N70" s="32">
        <f t="shared" si="44"/>
        <v>0.008491508491508492</v>
      </c>
      <c r="O70" s="32">
        <f t="shared" si="45"/>
        <v>0.0020757654385054488</v>
      </c>
      <c r="P70" s="32">
        <f t="shared" si="46"/>
        <v>0.0024307243558580457</v>
      </c>
      <c r="Q70" s="32">
        <f t="shared" si="47"/>
        <v>0.002737226277372263</v>
      </c>
    </row>
    <row r="71" spans="1:17" ht="12.75">
      <c r="A71" s="16" t="s">
        <v>6</v>
      </c>
      <c r="B71" s="37">
        <f>'VEIÐUHAGTØL 1998-2002'!G9</f>
        <v>434</v>
      </c>
      <c r="C71" s="37">
        <f>'VEIÐUHAGTØL 1998-2002'!G20</f>
        <v>636</v>
      </c>
      <c r="D71" s="37">
        <f>'VEIÐUHAGTØL 1998-2002'!G31</f>
        <v>880</v>
      </c>
      <c r="E71" s="37">
        <f>'VEIÐUHAGTØL 1998-2002'!G42</f>
        <v>982</v>
      </c>
      <c r="F71" s="37">
        <f>'VEIÐUHAGTØL 1998-2002'!G53</f>
        <v>831</v>
      </c>
      <c r="G71" s="37">
        <v>707</v>
      </c>
      <c r="H71" s="15">
        <f>354+387</f>
        <v>741</v>
      </c>
      <c r="I71" s="72"/>
      <c r="J71" s="16" t="s">
        <v>6</v>
      </c>
      <c r="K71" s="32">
        <f t="shared" si="41"/>
        <v>0.24490717228147396</v>
      </c>
      <c r="L71" s="32">
        <f t="shared" si="42"/>
        <v>0.34527687296416937</v>
      </c>
      <c r="M71" s="32">
        <f t="shared" si="43"/>
        <v>0.42014800668417285</v>
      </c>
      <c r="N71" s="32">
        <f t="shared" si="44"/>
        <v>0.4905094905094905</v>
      </c>
      <c r="O71" s="32">
        <f t="shared" si="45"/>
        <v>0.43124026984950703</v>
      </c>
      <c r="P71" s="32">
        <f t="shared" si="46"/>
        <v>0.3437044239183277</v>
      </c>
      <c r="Q71" s="32">
        <f t="shared" si="47"/>
        <v>0.3380474452554745</v>
      </c>
    </row>
    <row r="72" spans="1:17" ht="12.75">
      <c r="A72" s="16"/>
      <c r="B72" s="15"/>
      <c r="C72" s="15"/>
      <c r="D72" s="15"/>
      <c r="E72" s="15"/>
      <c r="F72" s="15"/>
      <c r="G72" s="15"/>
      <c r="H72" s="15"/>
      <c r="I72" s="73"/>
      <c r="J72" s="16"/>
      <c r="K72" s="15"/>
      <c r="L72" s="15"/>
      <c r="M72" s="15"/>
      <c r="N72" s="15"/>
      <c r="O72" s="15"/>
      <c r="P72" s="32" t="s">
        <v>19</v>
      </c>
      <c r="Q72" s="32" t="s">
        <v>19</v>
      </c>
    </row>
    <row r="73" spans="1:17" ht="12.75">
      <c r="A73" s="16" t="s">
        <v>7</v>
      </c>
      <c r="B73" s="38">
        <f aca="true" t="shared" si="48" ref="B73:G73">SUM(B66:B71)</f>
        <v>1772.1</v>
      </c>
      <c r="C73" s="38">
        <f t="shared" si="48"/>
        <v>1842</v>
      </c>
      <c r="D73" s="38">
        <f t="shared" si="48"/>
        <v>2094.5</v>
      </c>
      <c r="E73" s="38">
        <f t="shared" si="48"/>
        <v>2002</v>
      </c>
      <c r="F73" s="38">
        <f t="shared" si="48"/>
        <v>1927</v>
      </c>
      <c r="G73" s="38">
        <f t="shared" si="48"/>
        <v>2057</v>
      </c>
      <c r="H73" s="16">
        <f>SUM(H66:H71)</f>
        <v>2192</v>
      </c>
      <c r="I73" s="74"/>
      <c r="J73" s="16" t="s">
        <v>7</v>
      </c>
      <c r="K73" s="34">
        <f>SUM(K66:K71)</f>
        <v>1</v>
      </c>
      <c r="L73" s="34">
        <f>SUM(L66:L71)</f>
        <v>1</v>
      </c>
      <c r="M73" s="34">
        <f>SUM(M66:M71)</f>
        <v>1</v>
      </c>
      <c r="N73" s="34">
        <f>SUM(N66:N71)</f>
        <v>1</v>
      </c>
      <c r="O73" s="34">
        <f>SUM(O66:O71)</f>
        <v>1</v>
      </c>
      <c r="P73" s="34">
        <f>G73/$G$73</f>
        <v>1</v>
      </c>
      <c r="Q73" s="34">
        <f>H73/$H$73</f>
        <v>1</v>
      </c>
    </row>
    <row r="74" ht="12.75">
      <c r="P74" t="s">
        <v>19</v>
      </c>
    </row>
    <row r="75" spans="1:17" ht="15.75">
      <c r="A75" s="15"/>
      <c r="B75" s="15"/>
      <c r="C75" s="71" t="s">
        <v>36</v>
      </c>
      <c r="D75" s="71"/>
      <c r="E75" s="15"/>
      <c r="F75" s="15"/>
      <c r="G75" s="15"/>
      <c r="H75" s="15"/>
      <c r="J75" s="15"/>
      <c r="K75" s="15"/>
      <c r="L75" s="71" t="s">
        <v>37</v>
      </c>
      <c r="M75" s="71"/>
      <c r="N75" s="15"/>
      <c r="O75" s="15"/>
      <c r="P75" s="15"/>
      <c r="Q75" s="15"/>
    </row>
    <row r="76" spans="1:17" ht="12.75">
      <c r="A76" s="15"/>
      <c r="B76" s="16">
        <v>1998</v>
      </c>
      <c r="C76" s="16">
        <v>1999</v>
      </c>
      <c r="D76" s="16">
        <v>2000</v>
      </c>
      <c r="E76" s="16">
        <v>2001</v>
      </c>
      <c r="F76" s="16">
        <v>2002</v>
      </c>
      <c r="G76" s="16">
        <v>2003</v>
      </c>
      <c r="H76" s="16">
        <v>2004</v>
      </c>
      <c r="I76" s="55"/>
      <c r="J76" s="15"/>
      <c r="K76" s="16">
        <v>1998</v>
      </c>
      <c r="L76" s="16">
        <v>1999</v>
      </c>
      <c r="M76" s="16">
        <v>2000</v>
      </c>
      <c r="N76" s="16">
        <v>2001</v>
      </c>
      <c r="O76" s="16">
        <v>2002</v>
      </c>
      <c r="P76" s="54">
        <v>2003</v>
      </c>
      <c r="Q76" s="54">
        <v>2004</v>
      </c>
    </row>
    <row r="77" spans="1:17" ht="12.75">
      <c r="A77" s="16" t="s">
        <v>1</v>
      </c>
      <c r="B77" s="37">
        <f>'VEIÐUHAGTØL 1998-2002'!H4</f>
        <v>2055</v>
      </c>
      <c r="C77" s="37">
        <f>'VEIÐUHAGTØL 1998-2002'!H15</f>
        <v>2360</v>
      </c>
      <c r="D77" s="37">
        <f>'VEIÐUHAGTØL 1998-2002'!H26</f>
        <v>2039</v>
      </c>
      <c r="E77" s="37">
        <f>'VEIÐUHAGTØL 1998-2002'!H37</f>
        <v>2191</v>
      </c>
      <c r="F77" s="37">
        <f>'VEIÐUHAGTØL 1998-2002'!H48</f>
        <v>2663</v>
      </c>
      <c r="G77" s="37">
        <v>4941</v>
      </c>
      <c r="H77" s="15">
        <f>1037+1517</f>
        <v>2554</v>
      </c>
      <c r="I77" s="72"/>
      <c r="J77" s="16" t="s">
        <v>1</v>
      </c>
      <c r="K77" s="32">
        <f aca="true" t="shared" si="49" ref="K77:K82">B77/$B$84</f>
        <v>0.08431011352120882</v>
      </c>
      <c r="L77" s="32">
        <f aca="true" t="shared" si="50" ref="L77:L82">C77/$C$84</f>
        <v>0.12710928705693528</v>
      </c>
      <c r="M77" s="32">
        <f aca="true" t="shared" si="51" ref="M77:M82">D77/$D$84</f>
        <v>0.16136180180750542</v>
      </c>
      <c r="N77" s="32">
        <f aca="true" t="shared" si="52" ref="N77:N82">E77/$E$84</f>
        <v>0.12709259022935832</v>
      </c>
      <c r="O77" s="32">
        <f aca="true" t="shared" si="53" ref="O77:O82">F77/$F$84</f>
        <v>0.13950150345217763</v>
      </c>
      <c r="P77" s="32">
        <f aca="true" t="shared" si="54" ref="P77:P82">G77/$G$84</f>
        <v>0.2736334939358697</v>
      </c>
      <c r="Q77" s="32">
        <f aca="true" t="shared" si="55" ref="Q77:Q82">H77/$H$84</f>
        <v>0.29969490729875614</v>
      </c>
    </row>
    <row r="78" spans="1:17" ht="12.75">
      <c r="A78" s="16" t="s">
        <v>2</v>
      </c>
      <c r="B78" s="37">
        <f>'VEIÐUHAGTØL 1998-2002'!H5</f>
        <v>12083.5</v>
      </c>
      <c r="C78" s="37">
        <f>'VEIÐUHAGTØL 1998-2002'!H16</f>
        <v>6479.8</v>
      </c>
      <c r="D78" s="37">
        <f>'VEIÐUHAGTØL 1998-2002'!H27</f>
        <v>4229</v>
      </c>
      <c r="E78" s="37">
        <f>'VEIÐUHAGTØL 1998-2002'!H38</f>
        <v>9609</v>
      </c>
      <c r="F78" s="37">
        <f>'VEIÐUHAGTØL 1998-2002'!H49</f>
        <v>10695</v>
      </c>
      <c r="G78" s="37">
        <v>7331</v>
      </c>
      <c r="H78" s="70">
        <f>514+1610</f>
        <v>2124</v>
      </c>
      <c r="I78" s="72"/>
      <c r="J78" s="16" t="s">
        <v>2</v>
      </c>
      <c r="K78" s="32">
        <f t="shared" si="49"/>
        <v>0.495747570186631</v>
      </c>
      <c r="L78" s="32">
        <f t="shared" si="50"/>
        <v>0.34900116875912257</v>
      </c>
      <c r="M78" s="32">
        <f t="shared" si="51"/>
        <v>0.3346733986483278</v>
      </c>
      <c r="N78" s="32">
        <f t="shared" si="52"/>
        <v>0.5573859879114121</v>
      </c>
      <c r="O78" s="32">
        <f t="shared" si="53"/>
        <v>0.5602585728205182</v>
      </c>
      <c r="P78" s="32">
        <f t="shared" si="54"/>
        <v>0.4059921360137343</v>
      </c>
      <c r="Q78" s="32">
        <f t="shared" si="55"/>
        <v>0.2492372682468904</v>
      </c>
    </row>
    <row r="79" spans="1:17" ht="12.75">
      <c r="A79" s="16" t="s">
        <v>3</v>
      </c>
      <c r="B79" s="37">
        <f>'VEIÐUHAGTØL 1998-2002'!H6</f>
        <v>3410</v>
      </c>
      <c r="C79" s="37">
        <f>'VEIÐUHAGTØL 1998-2002'!H17</f>
        <v>2789</v>
      </c>
      <c r="D79" s="37">
        <f>'VEIÐUHAGTØL 1998-2002'!H28</f>
        <v>2302</v>
      </c>
      <c r="E79" s="37">
        <f>'VEIÐUHAGTØL 1998-2002'!H39</f>
        <v>2041</v>
      </c>
      <c r="F79" s="37">
        <f>'VEIÐUHAGTØL 1998-2002'!H50</f>
        <v>2085</v>
      </c>
      <c r="G79" s="37">
        <v>2045</v>
      </c>
      <c r="H79" s="70">
        <f>796+1070</f>
        <v>1866</v>
      </c>
      <c r="I79" s="72"/>
      <c r="J79" s="16" t="s">
        <v>3</v>
      </c>
      <c r="K79" s="32">
        <f t="shared" si="49"/>
        <v>0.1399014535802054</v>
      </c>
      <c r="L79" s="32">
        <f t="shared" si="50"/>
        <v>0.15021517017025107</v>
      </c>
      <c r="M79" s="32">
        <f t="shared" si="51"/>
        <v>0.18217502097149457</v>
      </c>
      <c r="N79" s="32">
        <f t="shared" si="52"/>
        <v>0.1183915913546875</v>
      </c>
      <c r="O79" s="32">
        <f t="shared" si="53"/>
        <v>0.10922291952601967</v>
      </c>
      <c r="P79" s="32">
        <f t="shared" si="54"/>
        <v>0.1132524782632774</v>
      </c>
      <c r="Q79" s="32">
        <f t="shared" si="55"/>
        <v>0.21896268481577094</v>
      </c>
    </row>
    <row r="80" spans="1:17" ht="12.75">
      <c r="A80" s="16" t="s">
        <v>4</v>
      </c>
      <c r="B80" s="37">
        <f>'VEIÐUHAGTØL 1998-2002'!H7</f>
        <v>2358.8</v>
      </c>
      <c r="C80" s="37">
        <f>'VEIÐUHAGTØL 1998-2002'!H18</f>
        <v>2266.9</v>
      </c>
      <c r="D80" s="37">
        <f>'VEIÐUHAGTØL 1998-2002'!H29</f>
        <v>2383</v>
      </c>
      <c r="E80" s="37">
        <f>'VEIÐUHAGTØL 1998-2002'!H40</f>
        <v>2647</v>
      </c>
      <c r="F80" s="37">
        <f>'VEIÐUHAGTØL 1998-2002'!H51</f>
        <v>2968</v>
      </c>
      <c r="G80" s="37">
        <v>2694</v>
      </c>
      <c r="H80" s="70">
        <f>738+652</f>
        <v>1390</v>
      </c>
      <c r="I80" s="72"/>
      <c r="J80" s="16" t="s">
        <v>4</v>
      </c>
      <c r="K80" s="32">
        <f t="shared" si="49"/>
        <v>0.09677406120380894</v>
      </c>
      <c r="L80" s="32">
        <f t="shared" si="50"/>
        <v>0.12209493340227398</v>
      </c>
      <c r="M80" s="32">
        <f t="shared" si="51"/>
        <v>0.18858517592314145</v>
      </c>
      <c r="N80" s="32">
        <f t="shared" si="52"/>
        <v>0.1535436268083576</v>
      </c>
      <c r="O80" s="32">
        <f t="shared" si="53"/>
        <v>0.15547895690802224</v>
      </c>
      <c r="P80" s="32">
        <f t="shared" si="54"/>
        <v>0.14919421830868915</v>
      </c>
      <c r="Q80" s="32">
        <f t="shared" si="55"/>
        <v>0.16310725181882188</v>
      </c>
    </row>
    <row r="81" spans="1:17" ht="12.75">
      <c r="A81" s="16" t="s">
        <v>5</v>
      </c>
      <c r="B81" s="37">
        <f>'VEIÐUHAGTØL 1998-2002'!H8</f>
        <v>475</v>
      </c>
      <c r="C81" s="37">
        <f>'VEIÐUHAGTØL 1998-2002'!H19</f>
        <v>517</v>
      </c>
      <c r="D81" s="37">
        <f>'VEIÐUHAGTØL 1998-2002'!H30</f>
        <v>768.2</v>
      </c>
      <c r="E81" s="37">
        <f>'VEIÐUHAGTØL 1998-2002'!H41</f>
        <v>549</v>
      </c>
      <c r="F81" s="37">
        <f>'VEIÐUHAGTØL 1998-2002'!H52</f>
        <v>461.4</v>
      </c>
      <c r="G81" s="37">
        <v>797</v>
      </c>
      <c r="H81" s="70">
        <f>190+193</f>
        <v>383</v>
      </c>
      <c r="I81" s="72"/>
      <c r="J81" s="16" t="s">
        <v>5</v>
      </c>
      <c r="K81" s="32">
        <f t="shared" si="49"/>
        <v>0.019487739135072596</v>
      </c>
      <c r="L81" s="32">
        <f t="shared" si="50"/>
        <v>0.02784555144425235</v>
      </c>
      <c r="M81" s="32">
        <f t="shared" si="51"/>
        <v>0.06079359301055697</v>
      </c>
      <c r="N81" s="32">
        <f t="shared" si="52"/>
        <v>0.03184565588129517</v>
      </c>
      <c r="O81" s="32">
        <f t="shared" si="53"/>
        <v>0.024170482047628523</v>
      </c>
      <c r="P81" s="32">
        <f t="shared" si="54"/>
        <v>0.044138007420944786</v>
      </c>
      <c r="Q81" s="32">
        <f t="shared" si="55"/>
        <v>0.0449425017601502</v>
      </c>
    </row>
    <row r="82" spans="1:17" ht="12.75">
      <c r="A82" s="16" t="s">
        <v>6</v>
      </c>
      <c r="B82" s="37">
        <f>'VEIÐUHAGTØL 1998-2002'!H9</f>
        <v>3992</v>
      </c>
      <c r="C82" s="37">
        <f>'VEIÐUHAGTØL 1998-2002'!H20</f>
        <v>4154</v>
      </c>
      <c r="D82" s="37">
        <f>'VEIÐUHAGTØL 1998-2002'!H31</f>
        <v>915</v>
      </c>
      <c r="E82" s="37">
        <f>'VEIÐUHAGTØL 1998-2002'!H42</f>
        <v>202.4</v>
      </c>
      <c r="F82" s="37">
        <f>'VEIÐUHAGTØL 1998-2002'!H53</f>
        <v>217</v>
      </c>
      <c r="G82" s="37">
        <v>249</v>
      </c>
      <c r="H82" s="70">
        <f>81+124</f>
        <v>205</v>
      </c>
      <c r="I82" s="72"/>
      <c r="J82" s="16" t="s">
        <v>6</v>
      </c>
      <c r="K82" s="32">
        <f t="shared" si="49"/>
        <v>0.16377906237307327</v>
      </c>
      <c r="L82" s="32">
        <f t="shared" si="50"/>
        <v>0.2237338891671649</v>
      </c>
      <c r="M82" s="32">
        <f t="shared" si="51"/>
        <v>0.07241100963897373</v>
      </c>
      <c r="N82" s="32">
        <f t="shared" si="52"/>
        <v>0.011740547814889148</v>
      </c>
      <c r="O82" s="32">
        <f t="shared" si="53"/>
        <v>0.011367565245633702</v>
      </c>
      <c r="P82" s="32">
        <f t="shared" si="54"/>
        <v>0.013789666057484632</v>
      </c>
      <c r="Q82" s="32">
        <f t="shared" si="55"/>
        <v>0.02405538605961042</v>
      </c>
    </row>
    <row r="83" spans="1:17" ht="12.75">
      <c r="A83" s="16"/>
      <c r="B83" s="15"/>
      <c r="C83" s="15"/>
      <c r="D83" s="15"/>
      <c r="E83" s="15"/>
      <c r="F83" s="15"/>
      <c r="G83" s="15"/>
      <c r="H83" s="15"/>
      <c r="I83" s="73"/>
      <c r="J83" s="16"/>
      <c r="K83" s="15"/>
      <c r="L83" s="15"/>
      <c r="M83" s="15"/>
      <c r="N83" s="15"/>
      <c r="O83" s="15"/>
      <c r="P83" s="32" t="s">
        <v>19</v>
      </c>
      <c r="Q83" s="32" t="s">
        <v>19</v>
      </c>
    </row>
    <row r="84" spans="1:17" ht="12.75">
      <c r="A84" s="16" t="s">
        <v>7</v>
      </c>
      <c r="B84" s="38">
        <f aca="true" t="shared" si="56" ref="B84:G84">SUM(B77:B82)</f>
        <v>24374.3</v>
      </c>
      <c r="C84" s="38">
        <f t="shared" si="56"/>
        <v>18566.699999999997</v>
      </c>
      <c r="D84" s="38">
        <f t="shared" si="56"/>
        <v>12636.2</v>
      </c>
      <c r="E84" s="38">
        <f t="shared" si="56"/>
        <v>17239.4</v>
      </c>
      <c r="F84" s="38">
        <f t="shared" si="56"/>
        <v>19089.4</v>
      </c>
      <c r="G84" s="38">
        <f t="shared" si="56"/>
        <v>18057</v>
      </c>
      <c r="H84" s="16">
        <f>SUM(H77:H82)</f>
        <v>8522</v>
      </c>
      <c r="I84" s="74"/>
      <c r="J84" s="16" t="s">
        <v>7</v>
      </c>
      <c r="K84" s="34">
        <f>SUM(K77:K82)</f>
        <v>1</v>
      </c>
      <c r="L84" s="34">
        <f>SUM(L77:L82)</f>
        <v>1.0000000000000002</v>
      </c>
      <c r="M84" s="34">
        <f>SUM(M77:M82)</f>
        <v>0.9999999999999999</v>
      </c>
      <c r="N84" s="34">
        <f>SUM(N77:N82)</f>
        <v>0.9999999999999999</v>
      </c>
      <c r="O84" s="34">
        <f>SUM(O77:O82)</f>
        <v>0.9999999999999999</v>
      </c>
      <c r="P84" s="34">
        <f>G84/$G$84</f>
        <v>1</v>
      </c>
      <c r="Q84" s="34">
        <f>H84/$H$84</f>
        <v>1</v>
      </c>
    </row>
    <row r="85" ht="12.75">
      <c r="P85" t="s">
        <v>19</v>
      </c>
    </row>
    <row r="86" spans="1:17" ht="15.75">
      <c r="A86" s="53"/>
      <c r="B86" s="53"/>
      <c r="C86" s="71" t="s">
        <v>38</v>
      </c>
      <c r="D86" s="71"/>
      <c r="E86" s="53"/>
      <c r="F86" s="53"/>
      <c r="G86" s="53"/>
      <c r="H86" s="53"/>
      <c r="I86" s="40"/>
      <c r="J86" s="53"/>
      <c r="K86" s="53"/>
      <c r="L86" s="71" t="s">
        <v>39</v>
      </c>
      <c r="M86" s="71"/>
      <c r="N86" s="53"/>
      <c r="O86" s="53"/>
      <c r="P86" s="15"/>
      <c r="Q86" s="15"/>
    </row>
    <row r="87" spans="1:17" ht="12.75">
      <c r="A87" s="53"/>
      <c r="B87" s="16">
        <v>1998</v>
      </c>
      <c r="C87" s="16">
        <v>1999</v>
      </c>
      <c r="D87" s="16">
        <v>2000</v>
      </c>
      <c r="E87" s="16">
        <v>2001</v>
      </c>
      <c r="F87" s="16">
        <v>2002</v>
      </c>
      <c r="G87" s="16">
        <v>2003</v>
      </c>
      <c r="H87" s="16">
        <v>2004</v>
      </c>
      <c r="I87" s="55"/>
      <c r="J87" s="53"/>
      <c r="K87" s="16">
        <v>1998</v>
      </c>
      <c r="L87" s="16">
        <v>1999</v>
      </c>
      <c r="M87" s="16">
        <v>2000</v>
      </c>
      <c r="N87" s="16">
        <v>2001</v>
      </c>
      <c r="O87" s="16">
        <v>2002</v>
      </c>
      <c r="P87" s="54">
        <v>2003</v>
      </c>
      <c r="Q87" s="16">
        <v>2004</v>
      </c>
    </row>
    <row r="88" spans="1:17" ht="12.75">
      <c r="A88" s="16" t="s">
        <v>1</v>
      </c>
      <c r="B88" s="51">
        <f>'VEIÐUHAGTØL 1998-2002'!I4</f>
        <v>13395</v>
      </c>
      <c r="C88" s="51">
        <f>'VEIÐUHAGTØL 1998-2002'!I15</f>
        <v>15390</v>
      </c>
      <c r="D88" s="51">
        <f>'VEIÐUHAGTØL 1998-2002'!I26</f>
        <v>14681</v>
      </c>
      <c r="E88" s="51">
        <f>'VEIÐUHAGTØL 1998-2002'!I37</f>
        <v>17186</v>
      </c>
      <c r="F88" s="51">
        <f>'VEIÐUHAGTØL 1998-2002'!I48</f>
        <v>21363</v>
      </c>
      <c r="G88" s="51">
        <v>22232</v>
      </c>
      <c r="H88" s="37">
        <v>13240</v>
      </c>
      <c r="I88" s="76"/>
      <c r="J88" s="16" t="s">
        <v>1</v>
      </c>
      <c r="K88" s="52">
        <f aca="true" t="shared" si="57" ref="K88:K93">B88/$B$95</f>
        <v>0.1272936858720639</v>
      </c>
      <c r="L88" s="52">
        <f aca="true" t="shared" si="58" ref="L88:L93">C88/$C$95</f>
        <v>0.16431949946080995</v>
      </c>
      <c r="M88" s="52">
        <f aca="true" t="shared" si="59" ref="M88:M93">D88/$D$95</f>
        <v>0.1750426249836058</v>
      </c>
      <c r="N88" s="52">
        <f aca="true" t="shared" si="60" ref="N88:N93">E88/$E$95</f>
        <v>0.16200369518494778</v>
      </c>
      <c r="O88" s="52">
        <f aca="true" t="shared" si="61" ref="O88:O93">F88/$F$95</f>
        <v>0.16601647497668634</v>
      </c>
      <c r="P88" s="52">
        <f aca="true" t="shared" si="62" ref="P88:P93">G88/$G$95</f>
        <v>0.16681385683511377</v>
      </c>
      <c r="Q88" s="52">
        <f aca="true" t="shared" si="63" ref="Q88:Q93">H88/$H$95</f>
        <v>0.15053323328103327</v>
      </c>
    </row>
    <row r="89" spans="1:17" ht="12.75">
      <c r="A89" s="16" t="s">
        <v>2</v>
      </c>
      <c r="B89" s="51">
        <f>'VEIÐUHAGTØL 1998-2002'!I5</f>
        <v>37745</v>
      </c>
      <c r="C89" s="51">
        <f>'VEIÐUHAGTØL 1998-2002'!I16</f>
        <v>35309</v>
      </c>
      <c r="D89" s="51">
        <f>'VEIÐUHAGTØL 1998-2002'!I27</f>
        <v>36405</v>
      </c>
      <c r="E89" s="51">
        <f>'VEIÐUHAGTØL 1998-2002'!I38</f>
        <v>46265</v>
      </c>
      <c r="F89" s="51">
        <f>'VEIÐUHAGTØL 1998-2002'!I49</f>
        <v>56938</v>
      </c>
      <c r="G89" s="51">
        <v>50896</v>
      </c>
      <c r="H89" s="15">
        <v>30737</v>
      </c>
      <c r="I89" s="77"/>
      <c r="J89" s="16" t="s">
        <v>2</v>
      </c>
      <c r="K89" s="52">
        <f t="shared" si="57"/>
        <v>0.3586935552998172</v>
      </c>
      <c r="L89" s="52">
        <f t="shared" si="58"/>
        <v>0.3769952700754866</v>
      </c>
      <c r="M89" s="52">
        <f t="shared" si="59"/>
        <v>0.43405944843867367</v>
      </c>
      <c r="N89" s="52">
        <f t="shared" si="60"/>
        <v>0.43611666226763696</v>
      </c>
      <c r="O89" s="52">
        <f t="shared" si="61"/>
        <v>0.44247746347528755</v>
      </c>
      <c r="P89" s="52">
        <f t="shared" si="62"/>
        <v>0.3818890813907858</v>
      </c>
      <c r="Q89" s="52">
        <f t="shared" si="63"/>
        <v>0.34946676671896676</v>
      </c>
    </row>
    <row r="90" spans="1:17" ht="12.75">
      <c r="A90" s="16" t="s">
        <v>3</v>
      </c>
      <c r="B90" s="51">
        <f>'VEIÐUHAGTØL 1998-2002'!I6</f>
        <v>20598</v>
      </c>
      <c r="C90" s="51">
        <f>'VEIÐUHAGTØL 1998-2002'!I17</f>
        <v>15678</v>
      </c>
      <c r="D90" s="51">
        <f>'VEIÐUHAGTØL 1998-2002'!I28</f>
        <v>10834</v>
      </c>
      <c r="E90" s="51">
        <f>'VEIÐUHAGTØL 1998-2002'!I39</f>
        <v>11581</v>
      </c>
      <c r="F90" s="51">
        <f>'VEIÐUHAGTØL 1998-2002'!I50</f>
        <v>15323</v>
      </c>
      <c r="G90" s="51">
        <v>19555</v>
      </c>
      <c r="H90" s="15">
        <v>16061</v>
      </c>
      <c r="I90" s="77"/>
      <c r="J90" s="16" t="s">
        <v>3</v>
      </c>
      <c r="K90" s="52">
        <f t="shared" si="57"/>
        <v>0.19574433307896769</v>
      </c>
      <c r="L90" s="52">
        <f t="shared" si="58"/>
        <v>0.1673944842460415</v>
      </c>
      <c r="M90" s="52">
        <f t="shared" si="59"/>
        <v>0.12917456570209013</v>
      </c>
      <c r="N90" s="52">
        <f t="shared" si="60"/>
        <v>0.10916820632706158</v>
      </c>
      <c r="O90" s="52">
        <f t="shared" si="61"/>
        <v>0.11907833385141436</v>
      </c>
      <c r="P90" s="52">
        <f t="shared" si="62"/>
        <v>0.14672746358450206</v>
      </c>
      <c r="Q90" s="52">
        <f t="shared" si="63"/>
        <v>0.18260681719989993</v>
      </c>
    </row>
    <row r="91" spans="1:17" ht="12.75">
      <c r="A91" s="16" t="s">
        <v>4</v>
      </c>
      <c r="B91" s="51">
        <f>'VEIÐUHAGTØL 1998-2002'!I7</f>
        <v>18483</v>
      </c>
      <c r="C91" s="51">
        <f>'VEIÐUHAGTØL 1998-2002'!I18</f>
        <v>14487</v>
      </c>
      <c r="D91" s="51">
        <f>'VEIÐUHAGTØL 1998-2002'!I29</f>
        <v>13335</v>
      </c>
      <c r="E91" s="51">
        <f>'VEIÐUHAGTØL 1998-2002'!I40</f>
        <v>17243</v>
      </c>
      <c r="F91" s="51">
        <f>'VEIÐUHAGTØL 1998-2002'!I51</f>
        <v>22174</v>
      </c>
      <c r="G91" s="51">
        <v>25041</v>
      </c>
      <c r="H91" s="15">
        <v>17201</v>
      </c>
      <c r="I91" s="77"/>
      <c r="J91" s="16" t="s">
        <v>4</v>
      </c>
      <c r="K91" s="52">
        <f t="shared" si="57"/>
        <v>0.17564533004653654</v>
      </c>
      <c r="L91" s="52">
        <f t="shared" si="58"/>
        <v>0.1546781409154486</v>
      </c>
      <c r="M91" s="52">
        <f t="shared" si="59"/>
        <v>0.15899416961762708</v>
      </c>
      <c r="N91" s="52">
        <f t="shared" si="60"/>
        <v>0.16254100524112966</v>
      </c>
      <c r="O91" s="52">
        <f t="shared" si="61"/>
        <v>0.17231893068075846</v>
      </c>
      <c r="P91" s="52">
        <f t="shared" si="62"/>
        <v>0.18789068860237873</v>
      </c>
      <c r="Q91" s="52">
        <f t="shared" si="63"/>
        <v>0.1955681378902608</v>
      </c>
    </row>
    <row r="92" spans="1:17" ht="12.75">
      <c r="A92" s="16" t="s">
        <v>5</v>
      </c>
      <c r="B92" s="51">
        <f>'VEIÐUHAGTØL 1998-2002'!I8</f>
        <v>8526.1</v>
      </c>
      <c r="C92" s="51">
        <f>'VEIÐUHAGTØL 1998-2002'!I19</f>
        <v>5524</v>
      </c>
      <c r="D92" s="51">
        <f>'VEIÐUHAGTØL 1998-2002'!I30</f>
        <v>4263</v>
      </c>
      <c r="E92" s="51">
        <f>'VEIÐUHAGTØL 1998-2002'!I41</f>
        <v>10032</v>
      </c>
      <c r="F92" s="51">
        <f>'VEIÐUHAGTØL 1998-2002'!I52</f>
        <v>10118</v>
      </c>
      <c r="G92" s="51">
        <v>12596.3</v>
      </c>
      <c r="H92" s="15">
        <v>8202</v>
      </c>
      <c r="I92" s="77"/>
      <c r="J92" s="16" t="s">
        <v>5</v>
      </c>
      <c r="K92" s="52">
        <f t="shared" si="57"/>
        <v>0.08102416536870505</v>
      </c>
      <c r="L92" s="52">
        <f t="shared" si="58"/>
        <v>0.058979916505621455</v>
      </c>
      <c r="M92" s="52">
        <f t="shared" si="59"/>
        <v>0.050828057373824086</v>
      </c>
      <c r="N92" s="52">
        <f t="shared" si="60"/>
        <v>0.09456656988801328</v>
      </c>
      <c r="O92" s="52">
        <f t="shared" si="61"/>
        <v>0.07862915760024868</v>
      </c>
      <c r="P92" s="52">
        <f t="shared" si="62"/>
        <v>0.09451409611605538</v>
      </c>
      <c r="Q92" s="52">
        <f t="shared" si="63"/>
        <v>0.09325329149328059</v>
      </c>
    </row>
    <row r="93" spans="1:17" ht="12.75">
      <c r="A93" s="16" t="s">
        <v>6</v>
      </c>
      <c r="B93" s="51">
        <f>'VEIÐUHAGTØL 1998-2002'!I9</f>
        <v>6482</v>
      </c>
      <c r="C93" s="51">
        <f>'VEIÐUHAGTØL 1998-2002'!I20</f>
        <v>7271</v>
      </c>
      <c r="D93" s="51">
        <f>'VEIÐUHAGTØL 1998-2002'!I31</f>
        <v>4353</v>
      </c>
      <c r="E93" s="51">
        <f>'VEIÐUHAGTØL 1998-2002'!I42</f>
        <v>3777</v>
      </c>
      <c r="F93" s="51">
        <f>'VEIÐUHAGTØL 1998-2002'!I53</f>
        <v>2764</v>
      </c>
      <c r="G93" s="51">
        <v>2954</v>
      </c>
      <c r="H93" s="15">
        <v>2513</v>
      </c>
      <c r="I93" s="77"/>
      <c r="J93" s="16" t="s">
        <v>6</v>
      </c>
      <c r="K93" s="52">
        <f t="shared" si="57"/>
        <v>0.061598930333909535</v>
      </c>
      <c r="L93" s="52">
        <f t="shared" si="58"/>
        <v>0.0776326887965919</v>
      </c>
      <c r="M93" s="52">
        <f t="shared" si="59"/>
        <v>0.051901133884179274</v>
      </c>
      <c r="N93" s="52">
        <f t="shared" si="60"/>
        <v>0.03560386109121074</v>
      </c>
      <c r="O93" s="52">
        <f t="shared" si="61"/>
        <v>0.0214796394156046</v>
      </c>
      <c r="P93" s="52">
        <f t="shared" si="62"/>
        <v>0.02216481347116436</v>
      </c>
      <c r="Q93" s="52">
        <f t="shared" si="63"/>
        <v>0.028571753416558654</v>
      </c>
    </row>
    <row r="94" spans="1:17" ht="12.75">
      <c r="A94" s="16"/>
      <c r="B94" s="51"/>
      <c r="C94" s="51"/>
      <c r="D94" s="51"/>
      <c r="E94" s="51"/>
      <c r="F94" s="51"/>
      <c r="G94" s="51"/>
      <c r="H94" s="15" t="s">
        <v>19</v>
      </c>
      <c r="I94" s="77"/>
      <c r="J94" s="16"/>
      <c r="K94" s="53"/>
      <c r="L94" s="53"/>
      <c r="M94" s="53"/>
      <c r="N94" s="53"/>
      <c r="O94" s="53"/>
      <c r="P94" s="52" t="s">
        <v>19</v>
      </c>
      <c r="Q94" s="52" t="s">
        <v>19</v>
      </c>
    </row>
    <row r="95" spans="1:17" ht="12.75">
      <c r="A95" s="16" t="s">
        <v>7</v>
      </c>
      <c r="B95" s="38">
        <f aca="true" t="shared" si="64" ref="B95:G95">SUM(B88:B93)</f>
        <v>105229.1</v>
      </c>
      <c r="C95" s="38">
        <f t="shared" si="64"/>
        <v>93659</v>
      </c>
      <c r="D95" s="38">
        <f t="shared" si="64"/>
        <v>83871</v>
      </c>
      <c r="E95" s="38">
        <f t="shared" si="64"/>
        <v>106084</v>
      </c>
      <c r="F95" s="38">
        <f t="shared" si="64"/>
        <v>128680</v>
      </c>
      <c r="G95" s="38">
        <f t="shared" si="64"/>
        <v>133274.3</v>
      </c>
      <c r="H95" s="38">
        <f>SUM(H88:H93)</f>
        <v>87954</v>
      </c>
      <c r="I95" s="74"/>
      <c r="J95" s="16" t="s">
        <v>7</v>
      </c>
      <c r="K95" s="34">
        <f>SUM(K88:K93)</f>
        <v>0.9999999999999999</v>
      </c>
      <c r="L95" s="34">
        <f>SUM(L88:L93)</f>
        <v>1</v>
      </c>
      <c r="M95" s="34">
        <f>SUM(M88:M93)</f>
        <v>1</v>
      </c>
      <c r="N95" s="34">
        <f>SUM(N88:N93)</f>
        <v>1</v>
      </c>
      <c r="O95" s="34">
        <f>SUM(O88:O93)</f>
        <v>0.9999999999999999</v>
      </c>
      <c r="P95" s="34">
        <f>G95/$G$95</f>
        <v>1</v>
      </c>
      <c r="Q95" s="34">
        <f>H95/$H$95</f>
        <v>1</v>
      </c>
    </row>
    <row r="96" spans="1:16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</row>
  </sheetData>
  <printOptions/>
  <pageMargins left="0.75" right="0.75" top="1" bottom="1" header="0" footer="0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Fiskimálaráðið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lhm</dc:creator>
  <cp:keywords/>
  <dc:description/>
  <cp:lastModifiedBy>thuridd</cp:lastModifiedBy>
  <cp:lastPrinted>2003-07-03T19:04:01Z</cp:lastPrinted>
  <dcterms:created xsi:type="dcterms:W3CDTF">2003-03-21T08:54:13Z</dcterms:created>
  <dcterms:modified xsi:type="dcterms:W3CDTF">2004-06-21T21:11:09Z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