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601" activeTab="2"/>
  </bookViews>
  <sheets>
    <sheet name="talva 2" sheetId="1" r:id="rId1"/>
    <sheet name="SIM-2006" sheetId="2" r:id="rId2"/>
    <sheet name="lønir-2006" sheetId="3" r:id="rId3"/>
    <sheet name="lær-tímar" sheetId="4" r:id="rId4"/>
    <sheet name="faktímab" sheetId="5" r:id="rId5"/>
    <sheet name="tímarestir" sheetId="6" r:id="rId6"/>
    <sheet name="Ark14" sheetId="7" r:id="rId7"/>
    <sheet name="Ark15" sheetId="8" r:id="rId8"/>
    <sheet name="Ark16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<sst xmlns="http://schemas.openxmlformats.org/spreadsheetml/2006/main" count="1125" uniqueCount="353">
  <si>
    <t xml:space="preserve"> </t>
  </si>
  <si>
    <t>Íalt</t>
  </si>
  <si>
    <t>næmingatal</t>
  </si>
  <si>
    <t>(3)</t>
  </si>
  <si>
    <t>F</t>
  </si>
  <si>
    <t>januar-juli</t>
  </si>
  <si>
    <t>august-desember</t>
  </si>
  <si>
    <t>Næmin-</t>
  </si>
  <si>
    <t>Flokka-</t>
  </si>
  <si>
    <t>Pults</t>
  </si>
  <si>
    <t>Niður</t>
  </si>
  <si>
    <t>Tímar</t>
  </si>
  <si>
    <t>kr. pr.</t>
  </si>
  <si>
    <t>Lønir</t>
  </si>
  <si>
    <t>stig</t>
  </si>
  <si>
    <t>gatal</t>
  </si>
  <si>
    <t>tal</t>
  </si>
  <si>
    <t>tímar</t>
  </si>
  <si>
    <t>skurð.</t>
  </si>
  <si>
    <t>pr. viku</t>
  </si>
  <si>
    <t>t/v/m</t>
  </si>
  <si>
    <t>Flokks</t>
  </si>
  <si>
    <t>Student</t>
  </si>
  <si>
    <t>1s mál</t>
  </si>
  <si>
    <t>býtt</t>
  </si>
  <si>
    <t>1s støddf</t>
  </si>
  <si>
    <t xml:space="preserve">virk- </t>
  </si>
  <si>
    <t>2s mál</t>
  </si>
  <si>
    <t>semi</t>
  </si>
  <si>
    <t>2s støddf</t>
  </si>
  <si>
    <t>hástig</t>
  </si>
  <si>
    <t>3s mál</t>
  </si>
  <si>
    <t>3s støddf</t>
  </si>
  <si>
    <t>miðstig</t>
  </si>
  <si>
    <t>HF</t>
  </si>
  <si>
    <t>1hf</t>
  </si>
  <si>
    <t>vallærugr.</t>
  </si>
  <si>
    <t>2hf</t>
  </si>
  <si>
    <t xml:space="preserve">Ikki </t>
  </si>
  <si>
    <t>Ferðing</t>
  </si>
  <si>
    <t>flokks-</t>
  </si>
  <si>
    <t>Umsiting</t>
  </si>
  <si>
    <t>Búdeild</t>
  </si>
  <si>
    <t>virk-</t>
  </si>
  <si>
    <t>Bókasavn</t>
  </si>
  <si>
    <t>Lestrarv.</t>
  </si>
  <si>
    <t>Lærararáð</t>
  </si>
  <si>
    <t>Telduvegl.</t>
  </si>
  <si>
    <t>Søvn</t>
  </si>
  <si>
    <t>Frítíðarvirksemi</t>
  </si>
  <si>
    <t>Annað</t>
  </si>
  <si>
    <t>Sjúkravikarar (1%)</t>
  </si>
  <si>
    <t>Skúlastjóri</t>
  </si>
  <si>
    <t>pultstímatal</t>
  </si>
  <si>
    <t>niðurskurður</t>
  </si>
  <si>
    <t>flokkatal</t>
  </si>
  <si>
    <t>felags-</t>
  </si>
  <si>
    <t>íalt</t>
  </si>
  <si>
    <t>minsta</t>
  </si>
  <si>
    <t xml:space="preserve">pr.næming </t>
  </si>
  <si>
    <t>pr.flokk</t>
  </si>
  <si>
    <t>løntímar</t>
  </si>
  <si>
    <t>1.studentaflokkarnir</t>
  </si>
  <si>
    <t>1.s mál</t>
  </si>
  <si>
    <t>1.s stødd</t>
  </si>
  <si>
    <t>kynsbýtt frálæra í ítrótti</t>
  </si>
  <si>
    <t>blandaðir flokkar í 1.s</t>
  </si>
  <si>
    <t>2.studentaflokkarnir</t>
  </si>
  <si>
    <t>2.s mál</t>
  </si>
  <si>
    <t>2.s stødd</t>
  </si>
  <si>
    <t>blandaðir flokkar í 2.s</t>
  </si>
  <si>
    <t>3.studentaflokkarnir</t>
  </si>
  <si>
    <t>3.s mál</t>
  </si>
  <si>
    <t>3.s stødd</t>
  </si>
  <si>
    <t>valhold</t>
  </si>
  <si>
    <t>royndarniðurskurðir</t>
  </si>
  <si>
    <t>pultstímatal í studentaskúlanum</t>
  </si>
  <si>
    <t>1.hf-flokkarnir</t>
  </si>
  <si>
    <t>kravdar lærugreinir</t>
  </si>
  <si>
    <t>3 ella 4</t>
  </si>
  <si>
    <t>2.hf-flokkarnir</t>
  </si>
  <si>
    <t>pultstímatal á HF</t>
  </si>
  <si>
    <t>pultstímatal íalt</t>
  </si>
  <si>
    <t>aðrir niðurskurðar</t>
  </si>
  <si>
    <t>niðurskurður íalt</t>
  </si>
  <si>
    <t>løntímar íalt</t>
  </si>
  <si>
    <t>royndarniðurskurður</t>
  </si>
  <si>
    <t>GP</t>
  </si>
  <si>
    <t>JG</t>
  </si>
  <si>
    <t>MA</t>
  </si>
  <si>
    <t>EJ</t>
  </si>
  <si>
    <t>KH</t>
  </si>
  <si>
    <t>PO</t>
  </si>
  <si>
    <t>KD</t>
  </si>
  <si>
    <t>KJ</t>
  </si>
  <si>
    <t>LJ</t>
  </si>
  <si>
    <t>AE</t>
  </si>
  <si>
    <t>JS</t>
  </si>
  <si>
    <t>JD</t>
  </si>
  <si>
    <t>BS</t>
  </si>
  <si>
    <t>CI</t>
  </si>
  <si>
    <t>FL</t>
  </si>
  <si>
    <t>HE</t>
  </si>
  <si>
    <t>HH</t>
  </si>
  <si>
    <t>HJ</t>
  </si>
  <si>
    <t>KM</t>
  </si>
  <si>
    <t>MH</t>
  </si>
  <si>
    <t>PM</t>
  </si>
  <si>
    <t>RS</t>
  </si>
  <si>
    <t>SF</t>
  </si>
  <si>
    <t>SH</t>
  </si>
  <si>
    <t>SV</t>
  </si>
  <si>
    <t>IJ</t>
  </si>
  <si>
    <t>UT</t>
  </si>
  <si>
    <t>BR</t>
  </si>
  <si>
    <t>KA</t>
  </si>
  <si>
    <t>EH</t>
  </si>
  <si>
    <t>MR</t>
  </si>
  <si>
    <t>RM</t>
  </si>
  <si>
    <t>AF</t>
  </si>
  <si>
    <t>alis/evnafrøði</t>
  </si>
  <si>
    <t>alisfrøði</t>
  </si>
  <si>
    <t>danskt</t>
  </si>
  <si>
    <t>enskt</t>
  </si>
  <si>
    <t>evnafrøði</t>
  </si>
  <si>
    <t>evning</t>
  </si>
  <si>
    <t>films-og sv-kunn.</t>
  </si>
  <si>
    <t>fiskivinna</t>
  </si>
  <si>
    <t>fornaldarfrøði</t>
  </si>
  <si>
    <t>franskt</t>
  </si>
  <si>
    <t>føroyskt</t>
  </si>
  <si>
    <t>geografi</t>
  </si>
  <si>
    <t>grikskt</t>
  </si>
  <si>
    <t>heimseki</t>
  </si>
  <si>
    <t>ítróttur</t>
  </si>
  <si>
    <t>latín</t>
  </si>
  <si>
    <t>leiklist</t>
  </si>
  <si>
    <t>lívfrøði</t>
  </si>
  <si>
    <t>religión</t>
  </si>
  <si>
    <t>russiskt</t>
  </si>
  <si>
    <t>sálarfrøði</t>
  </si>
  <si>
    <t>samfelag.fr.</t>
  </si>
  <si>
    <t>spanskt</t>
  </si>
  <si>
    <t>støddfrøði</t>
  </si>
  <si>
    <t>søga</t>
  </si>
  <si>
    <t>teldufrøði</t>
  </si>
  <si>
    <t>tónleikur</t>
  </si>
  <si>
    <t>týskt</t>
  </si>
  <si>
    <t>tøkni</t>
  </si>
  <si>
    <t>vinnulívsbúskapur</t>
  </si>
  <si>
    <t>ferðing</t>
  </si>
  <si>
    <t>umsiting</t>
  </si>
  <si>
    <t>búdeild</t>
  </si>
  <si>
    <t>bókasavn</t>
  </si>
  <si>
    <t>lestrarvegl.</t>
  </si>
  <si>
    <t>lærararáð</t>
  </si>
  <si>
    <t>telduvegl.</t>
  </si>
  <si>
    <t>frítíðarfrálæra</t>
  </si>
  <si>
    <t>søvn</t>
  </si>
  <si>
    <t>ÍALT</t>
  </si>
  <si>
    <t>annað</t>
  </si>
  <si>
    <t>JH</t>
  </si>
  <si>
    <t>hf</t>
  </si>
  <si>
    <t>1.s</t>
  </si>
  <si>
    <t>2.s felag</t>
  </si>
  <si>
    <t>2.s val</t>
  </si>
  <si>
    <t>2.s</t>
  </si>
  <si>
    <t>3.s felag</t>
  </si>
  <si>
    <t>3.s val</t>
  </si>
  <si>
    <t>3.s</t>
  </si>
  <si>
    <t>stud</t>
  </si>
  <si>
    <t>1A</t>
  </si>
  <si>
    <t>1B</t>
  </si>
  <si>
    <t>1Ð</t>
  </si>
  <si>
    <t>1E</t>
  </si>
  <si>
    <t>1X</t>
  </si>
  <si>
    <t>1Y</t>
  </si>
  <si>
    <t>1Z</t>
  </si>
  <si>
    <t>1U</t>
  </si>
  <si>
    <t>sum</t>
  </si>
  <si>
    <t>EF</t>
  </si>
  <si>
    <t>ST-A</t>
  </si>
  <si>
    <t>LÍ</t>
  </si>
  <si>
    <t>Sá</t>
  </si>
  <si>
    <t>He</t>
  </si>
  <si>
    <t>Lí</t>
  </si>
  <si>
    <t>Le</t>
  </si>
  <si>
    <t>Ev</t>
  </si>
  <si>
    <t>Ef-s</t>
  </si>
  <si>
    <t>3B</t>
  </si>
  <si>
    <t>3Ð</t>
  </si>
  <si>
    <t>3E</t>
  </si>
  <si>
    <t>3X</t>
  </si>
  <si>
    <t>3Z</t>
  </si>
  <si>
    <t>ST-m</t>
  </si>
  <si>
    <t>ST-s</t>
  </si>
  <si>
    <t>EN</t>
  </si>
  <si>
    <t>EN-s</t>
  </si>
  <si>
    <t>FR</t>
  </si>
  <si>
    <t>TÓ</t>
  </si>
  <si>
    <t>TÝ</t>
  </si>
  <si>
    <t>Ít</t>
  </si>
  <si>
    <t xml:space="preserve">sum </t>
  </si>
  <si>
    <t>1p</t>
  </si>
  <si>
    <t>1q</t>
  </si>
  <si>
    <t>2p</t>
  </si>
  <si>
    <t>2q</t>
  </si>
  <si>
    <t>St</t>
  </si>
  <si>
    <t>lærugrein</t>
  </si>
  <si>
    <t>lønt.</t>
  </si>
  <si>
    <t>pultst.</t>
  </si>
  <si>
    <t>Sf</t>
  </si>
  <si>
    <t>Tf</t>
  </si>
  <si>
    <t>val</t>
  </si>
  <si>
    <t>2.g</t>
  </si>
  <si>
    <t>Tó</t>
  </si>
  <si>
    <t>SP</t>
  </si>
  <si>
    <t>3.g</t>
  </si>
  <si>
    <t>BH</t>
  </si>
  <si>
    <t>enskt,    mál</t>
  </si>
  <si>
    <t>enskt,     felags</t>
  </si>
  <si>
    <t>JT</t>
  </si>
  <si>
    <t>enskt,    stødd</t>
  </si>
  <si>
    <t>enskt,     val</t>
  </si>
  <si>
    <t>evnafrøði,   mál</t>
  </si>
  <si>
    <t xml:space="preserve">evnafrøði   </t>
  </si>
  <si>
    <t>evnafrøði,   stødd</t>
  </si>
  <si>
    <t>films-og sv-kunnleiki</t>
  </si>
  <si>
    <t>SI</t>
  </si>
  <si>
    <t>OK</t>
  </si>
  <si>
    <t>latín,     mál</t>
  </si>
  <si>
    <t>latín,     stødd</t>
  </si>
  <si>
    <t>AN</t>
  </si>
  <si>
    <t>samfelagsfrøði</t>
  </si>
  <si>
    <t>støddfrøði,   mál</t>
  </si>
  <si>
    <t>støddfrøði,    fl</t>
  </si>
  <si>
    <t>støddfrøði,   stødd</t>
  </si>
  <si>
    <t>støddfrøði,    vl</t>
  </si>
  <si>
    <t>týskt,   byrj.</t>
  </si>
  <si>
    <t>týskt,   framh.</t>
  </si>
  <si>
    <t>LV</t>
  </si>
  <si>
    <t xml:space="preserve">  </t>
  </si>
  <si>
    <t>vallærugreinir</t>
  </si>
  <si>
    <t>oljufrøði</t>
  </si>
  <si>
    <t>DA</t>
  </si>
  <si>
    <t>OJ</t>
  </si>
  <si>
    <t xml:space="preserve">várið </t>
  </si>
  <si>
    <t xml:space="preserve">heystið </t>
  </si>
  <si>
    <t xml:space="preserve">        </t>
  </si>
  <si>
    <t>AM</t>
  </si>
  <si>
    <t>tímabanki</t>
  </si>
  <si>
    <t>JC</t>
  </si>
  <si>
    <t>JO</t>
  </si>
  <si>
    <t>HK</t>
  </si>
  <si>
    <t>REST</t>
  </si>
  <si>
    <t>KB</t>
  </si>
  <si>
    <t>KN</t>
  </si>
  <si>
    <t>námsfr. vegleiðing</t>
  </si>
  <si>
    <t>teldurøkt (kr.)</t>
  </si>
  <si>
    <t>løntímatal í studentaskúlanum</t>
  </si>
  <si>
    <t xml:space="preserve">teldurøkt </t>
  </si>
  <si>
    <t>TD</t>
  </si>
  <si>
    <t>2X</t>
  </si>
  <si>
    <t>2Z</t>
  </si>
  <si>
    <t>HI</t>
  </si>
  <si>
    <t>BJ</t>
  </si>
  <si>
    <t>KK</t>
  </si>
  <si>
    <t>EB</t>
  </si>
  <si>
    <t>SD</t>
  </si>
  <si>
    <t>JJ</t>
  </si>
  <si>
    <t>løntímatal í hf</t>
  </si>
  <si>
    <t>2Y</t>
  </si>
  <si>
    <t>stjørnufrøði</t>
  </si>
  <si>
    <t>EI</t>
  </si>
  <si>
    <t>tímabankin</t>
  </si>
  <si>
    <t>2A</t>
  </si>
  <si>
    <t>2B</t>
  </si>
  <si>
    <t>2E</t>
  </si>
  <si>
    <t>AS</t>
  </si>
  <si>
    <t>PJ</t>
  </si>
  <si>
    <t>ZS</t>
  </si>
  <si>
    <t>fl</t>
  </si>
  <si>
    <t>heimspeki</t>
  </si>
  <si>
    <t>lisnir</t>
  </si>
  <si>
    <t>2Ð</t>
  </si>
  <si>
    <t>KI</t>
  </si>
  <si>
    <t>BG</t>
  </si>
  <si>
    <t>GG</t>
  </si>
  <si>
    <t>BI</t>
  </si>
  <si>
    <t>MM</t>
  </si>
  <si>
    <t>EA</t>
  </si>
  <si>
    <t>HR</t>
  </si>
  <si>
    <t>AA</t>
  </si>
  <si>
    <t>KP</t>
  </si>
  <si>
    <t>KR</t>
  </si>
  <si>
    <t>SØ</t>
  </si>
  <si>
    <t>3Y</t>
  </si>
  <si>
    <t>Vb</t>
  </si>
  <si>
    <t>Fs</t>
  </si>
  <si>
    <t>HØ</t>
  </si>
  <si>
    <t>js</t>
  </si>
  <si>
    <t>jn-kj-ok-ób-js</t>
  </si>
  <si>
    <t>GR</t>
  </si>
  <si>
    <t>BP</t>
  </si>
  <si>
    <t>MG</t>
  </si>
  <si>
    <t>DP</t>
  </si>
  <si>
    <t>JB</t>
  </si>
  <si>
    <t>MK</t>
  </si>
  <si>
    <t>SJ</t>
  </si>
  <si>
    <t>VT</t>
  </si>
  <si>
    <t>JE</t>
  </si>
  <si>
    <t>MI</t>
  </si>
  <si>
    <t>TH</t>
  </si>
  <si>
    <t>HM</t>
  </si>
  <si>
    <t>pr. flokk</t>
  </si>
  <si>
    <t>VÁRIÐ-2006</t>
  </si>
  <si>
    <t>HEYSTIÐ-2006</t>
  </si>
  <si>
    <t>aðrir niðurskurðir</t>
  </si>
  <si>
    <t>2U</t>
  </si>
  <si>
    <t>Forn</t>
  </si>
  <si>
    <t>1hf sum</t>
  </si>
  <si>
    <t>Fisk</t>
  </si>
  <si>
    <t>AL-s</t>
  </si>
  <si>
    <t>2hf sum</t>
  </si>
  <si>
    <t>VO</t>
  </si>
  <si>
    <t>BP/PM</t>
  </si>
  <si>
    <t>??</t>
  </si>
  <si>
    <t>ÍALT uttan tímabanka</t>
  </si>
  <si>
    <t>Fult tímatal</t>
  </si>
  <si>
    <t>Restar í</t>
  </si>
  <si>
    <t>sf-gr</t>
  </si>
  <si>
    <t>br-kb-ka</t>
  </si>
  <si>
    <t>(82)-(34)</t>
  </si>
  <si>
    <t>kh-eh-ób</t>
  </si>
  <si>
    <t>jd, km, ij, bj</t>
  </si>
  <si>
    <t>ok-kj-jn-pm-rm-kd</t>
  </si>
  <si>
    <t>(3)-(82)</t>
  </si>
  <si>
    <t>kn</t>
  </si>
  <si>
    <t>ut</t>
  </si>
  <si>
    <t>jt</t>
  </si>
  <si>
    <t>oj</t>
  </si>
  <si>
    <t>ut-hj</t>
  </si>
  <si>
    <t>(34)</t>
  </si>
  <si>
    <t>Stovnur:</t>
  </si>
  <si>
    <t>Føroya Studentaskúli og HF-skeið</t>
  </si>
  <si>
    <t>Rakstrarstað:  116521</t>
  </si>
  <si>
    <t>Talva 2: Virksemisuppgerð</t>
  </si>
  <si>
    <t>Útreiðsla</t>
  </si>
  <si>
    <t>pr. ársnæm.</t>
  </si>
  <si>
    <t>Miðalútreiðsla pr. ársnæming</t>
  </si>
  <si>
    <t>Læraratal pr. flokk</t>
  </si>
  <si>
    <t>Lærarar pr. ársnæming</t>
  </si>
  <si>
    <t>Læraratímar/viku pr. ársnæming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</si>
</sst>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#,##0.0\ "/>
    <numFmt numFmtId="174" formatCode="0.0\ "/>
    <numFmt numFmtId="175" formatCode="#,##0;[Red]#,##0"/>
    <numFmt numFmtId="176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9"/>
      <name val="Times New Roman"/>
      <family val="1"/>
    </font>
    <font>
      <b/>
      <sz val="11"/>
      <name val="Arial"/>
      <family val="2"/>
    </font>
    <font>
      <sz val="8"/>
      <color indexed="10"/>
      <name val="Times New Roman"/>
      <family val="1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i/>
      <sz val="8"/>
      <color indexed="10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5.5"/>
      <name val="Times New Roman"/>
      <family val="1"/>
    </font>
    <font>
      <sz val="5"/>
      <color indexed="8"/>
      <name val="Times New Roman"/>
      <family val="1"/>
    </font>
    <font>
      <sz val="8"/>
      <color indexed="15"/>
      <name val="Times New Roman"/>
      <family val="1"/>
    </font>
    <font>
      <sz val="8"/>
      <color indexed="49"/>
      <name val="Times New Roman"/>
      <family val="1"/>
    </font>
    <font>
      <b/>
      <i/>
      <sz val="8"/>
      <color indexed="10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7"/>
      <color indexed="8"/>
      <name val="Arial"/>
      <family val="2"/>
    </font>
    <font>
      <i/>
      <sz val="7"/>
      <color indexed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0"/>
      <name val="CG Times"/>
      <family val="1"/>
    </font>
    <font>
      <b/>
      <sz val="14"/>
      <name val="CG Times"/>
      <family val="0"/>
    </font>
    <font>
      <sz val="10"/>
      <name val="CG Times"/>
      <family val="1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 wrapText="1"/>
    </xf>
    <xf numFmtId="1" fontId="5" fillId="0" borderId="0" xfId="0" applyNumberFormat="1" applyFont="1" applyAlignment="1">
      <alignment horizontal="center" textRotation="180"/>
    </xf>
    <xf numFmtId="1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0" fillId="0" borderId="3" xfId="0" applyNumberFormat="1" applyBorder="1" applyAlignment="1">
      <alignment/>
    </xf>
    <xf numFmtId="1" fontId="5" fillId="0" borderId="0" xfId="0" applyNumberFormat="1" applyFont="1" applyAlignment="1">
      <alignment horizontal="center" textRotation="180" wrapText="1"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horizontal="center" textRotation="180"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 quotePrefix="1">
      <alignment horizontal="right"/>
    </xf>
    <xf numFmtId="0" fontId="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1" borderId="28" xfId="0" applyFont="1" applyFill="1" applyBorder="1" applyAlignment="1">
      <alignment horizontal="center"/>
    </xf>
    <xf numFmtId="0" fontId="5" fillId="1" borderId="24" xfId="0" applyFont="1" applyFill="1" applyBorder="1" applyAlignment="1">
      <alignment horizontal="center"/>
    </xf>
    <xf numFmtId="0" fontId="5" fillId="1" borderId="23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3" fontId="5" fillId="1" borderId="22" xfId="0" applyNumberFormat="1" applyFont="1" applyFill="1" applyBorder="1" applyAlignment="1">
      <alignment horizontal="right"/>
    </xf>
    <xf numFmtId="3" fontId="5" fillId="1" borderId="28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5" fillId="1" borderId="7" xfId="0" applyFont="1" applyFill="1" applyBorder="1" applyAlignment="1">
      <alignment horizontal="center"/>
    </xf>
    <xf numFmtId="0" fontId="5" fillId="1" borderId="9" xfId="0" applyFont="1" applyFill="1" applyBorder="1" applyAlignment="1">
      <alignment horizontal="center"/>
    </xf>
    <xf numFmtId="0" fontId="5" fillId="1" borderId="8" xfId="0" applyFont="1" applyFill="1" applyBorder="1" applyAlignment="1">
      <alignment horizontal="center"/>
    </xf>
    <xf numFmtId="3" fontId="5" fillId="1" borderId="16" xfId="0" applyNumberFormat="1" applyFont="1" applyFill="1" applyBorder="1" applyAlignment="1">
      <alignment/>
    </xf>
    <xf numFmtId="3" fontId="5" fillId="1" borderId="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1" borderId="24" xfId="0" applyNumberFormat="1" applyFont="1" applyFill="1" applyBorder="1" applyAlignment="1">
      <alignment horizontal="center"/>
    </xf>
    <xf numFmtId="1" fontId="5" fillId="1" borderId="9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2" borderId="0" xfId="0" applyFont="1" applyFill="1" applyAlignment="1">
      <alignment/>
    </xf>
    <xf numFmtId="2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9" fillId="0" borderId="2" xfId="0" applyNumberFormat="1" applyFont="1" applyFill="1" applyBorder="1" applyAlignment="1">
      <alignment/>
    </xf>
    <xf numFmtId="0" fontId="9" fillId="1" borderId="0" xfId="0" applyFont="1" applyFill="1" applyAlignment="1">
      <alignment/>
    </xf>
    <xf numFmtId="2" fontId="9" fillId="1" borderId="0" xfId="0" applyNumberFormat="1" applyFont="1" applyFill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1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5" fillId="0" borderId="29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1" borderId="0" xfId="0" applyFill="1" applyAlignment="1">
      <alignment horizontal="center" vertical="center"/>
    </xf>
    <xf numFmtId="0" fontId="9" fillId="0" borderId="8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9" fillId="0" borderId="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9" xfId="0" applyFont="1" applyBorder="1" applyAlignment="1" quotePrefix="1">
      <alignment/>
    </xf>
    <xf numFmtId="0" fontId="11" fillId="0" borderId="16" xfId="0" applyFont="1" applyBorder="1" applyAlignment="1" quotePrefix="1">
      <alignment horizontal="center"/>
    </xf>
    <xf numFmtId="0" fontId="11" fillId="0" borderId="9" xfId="0" applyFont="1" applyBorder="1" applyAlignment="1" quotePrefix="1">
      <alignment horizontal="center"/>
    </xf>
    <xf numFmtId="3" fontId="11" fillId="0" borderId="8" xfId="0" applyNumberFormat="1" applyFont="1" applyBorder="1" applyAlignment="1" quotePrefix="1">
      <alignment horizontal="center"/>
    </xf>
    <xf numFmtId="0" fontId="11" fillId="0" borderId="7" xfId="0" applyFont="1" applyBorder="1" applyAlignment="1" quotePrefix="1">
      <alignment horizontal="center"/>
    </xf>
    <xf numFmtId="3" fontId="11" fillId="0" borderId="16" xfId="0" applyNumberFormat="1" applyFont="1" applyBorder="1" applyAlignment="1" quotePrefix="1">
      <alignment horizont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" fontId="11" fillId="0" borderId="31" xfId="0" applyNumberFormat="1" applyFont="1" applyBorder="1" applyAlignment="1" applyProtection="1">
      <alignment horizontal="center" vertical="center"/>
      <protection locked="0"/>
    </xf>
    <xf numFmtId="2" fontId="11" fillId="0" borderId="31" xfId="0" applyNumberFormat="1" applyFont="1" applyBorder="1" applyAlignment="1">
      <alignment horizontal="center"/>
    </xf>
    <xf numFmtId="3" fontId="11" fillId="0" borderId="31" xfId="0" applyNumberFormat="1" applyFont="1" applyBorder="1" applyAlignment="1" quotePrefix="1">
      <alignment horizont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2" fontId="11" fillId="0" borderId="31" xfId="0" applyNumberFormat="1" applyFont="1" applyBorder="1" applyAlignment="1" quotePrefix="1">
      <alignment horizont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0" fontId="11" fillId="0" borderId="32" xfId="0" applyFont="1" applyBorder="1" applyAlignment="1">
      <alignment horizontal="right"/>
    </xf>
    <xf numFmtId="0" fontId="11" fillId="0" borderId="24" xfId="0" applyFont="1" applyBorder="1" applyAlignment="1">
      <alignment/>
    </xf>
    <xf numFmtId="3" fontId="11" fillId="0" borderId="0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4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2" fontId="11" fillId="0" borderId="16" xfId="0" applyNumberFormat="1" applyFont="1" applyBorder="1" applyAlignment="1" quotePrefix="1">
      <alignment horizontal="center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Alignment="1">
      <alignment horizontal="center" textRotation="180"/>
    </xf>
    <xf numFmtId="2" fontId="14" fillId="0" borderId="0" xfId="0" applyNumberFormat="1" applyFont="1" applyAlignment="1">
      <alignment horizontal="center" textRotation="18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2" fontId="15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2" fontId="9" fillId="0" borderId="1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9" fillId="0" borderId="4" xfId="0" applyNumberFormat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0" fontId="11" fillId="0" borderId="32" xfId="0" applyFont="1" applyBorder="1" applyAlignment="1" quotePrefix="1">
      <alignment horizontal="right"/>
    </xf>
    <xf numFmtId="0" fontId="11" fillId="0" borderId="32" xfId="0" applyFont="1" applyBorder="1" applyAlignment="1">
      <alignment/>
    </xf>
    <xf numFmtId="3" fontId="11" fillId="0" borderId="32" xfId="0" applyNumberFormat="1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4" fontId="11" fillId="0" borderId="1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 quotePrefix="1">
      <alignment horizontal="right"/>
    </xf>
    <xf numFmtId="1" fontId="5" fillId="0" borderId="17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right"/>
    </xf>
    <xf numFmtId="3" fontId="5" fillId="1" borderId="16" xfId="0" applyNumberFormat="1" applyFont="1" applyFill="1" applyBorder="1" applyAlignment="1">
      <alignment horizontal="right"/>
    </xf>
    <xf numFmtId="1" fontId="5" fillId="0" borderId="3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1" borderId="22" xfId="0" applyNumberFormat="1" applyFont="1" applyFill="1" applyBorder="1" applyAlignment="1">
      <alignment horizontal="right"/>
    </xf>
    <xf numFmtId="1" fontId="5" fillId="1" borderId="16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8" fillId="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right"/>
    </xf>
    <xf numFmtId="0" fontId="11" fillId="0" borderId="3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21" fillId="0" borderId="2" xfId="0" applyFont="1" applyFill="1" applyBorder="1" applyAlignment="1">
      <alignment horizontal="center" vertical="center"/>
    </xf>
    <xf numFmtId="0" fontId="18" fillId="1" borderId="0" xfId="0" applyFont="1" applyFill="1" applyBorder="1" applyAlignment="1">
      <alignment horizontal="center" vertical="center"/>
    </xf>
    <xf numFmtId="2" fontId="9" fillId="1" borderId="27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2" fontId="9" fillId="2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2" fontId="9" fillId="1" borderId="0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1" borderId="30" xfId="0" applyNumberFormat="1" applyFont="1" applyFill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1" borderId="27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left" vertical="center"/>
    </xf>
    <xf numFmtId="1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5" fillId="0" borderId="35" xfId="0" applyNumberFormat="1" applyFont="1" applyBorder="1" applyAlignment="1">
      <alignment/>
    </xf>
    <xf numFmtId="172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11" fillId="0" borderId="31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8" xfId="0" applyFont="1" applyBorder="1" applyAlignment="1">
      <alignment horizontal="left"/>
    </xf>
    <xf numFmtId="0" fontId="24" fillId="0" borderId="7" xfId="0" applyFont="1" applyBorder="1" applyAlignment="1">
      <alignment/>
    </xf>
    <xf numFmtId="0" fontId="11" fillId="0" borderId="0" xfId="0" applyFont="1" applyAlignment="1">
      <alignment horizontal="left"/>
    </xf>
    <xf numFmtId="0" fontId="24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9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center" textRotation="180" wrapText="1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/>
    </xf>
    <xf numFmtId="0" fontId="0" fillId="0" borderId="0" xfId="0" applyAlignment="1">
      <alignment/>
    </xf>
    <xf numFmtId="9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9" fillId="0" borderId="6" xfId="0" applyNumberFormat="1" applyFont="1" applyFill="1" applyBorder="1" applyAlignment="1">
      <alignment horizontal="left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9" fillId="1" borderId="0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2" fontId="18" fillId="1" borderId="0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2" fontId="32" fillId="0" borderId="2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2" fontId="18" fillId="2" borderId="30" xfId="0" applyNumberFormat="1" applyFont="1" applyFill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8" fillId="2" borderId="30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left" vertical="center"/>
    </xf>
    <xf numFmtId="2" fontId="18" fillId="0" borderId="9" xfId="0" applyNumberFormat="1" applyFont="1" applyBorder="1" applyAlignment="1">
      <alignment horizontal="center" vertical="center"/>
    </xf>
    <xf numFmtId="2" fontId="18" fillId="1" borderId="3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9" fillId="1" borderId="27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/>
    </xf>
    <xf numFmtId="2" fontId="18" fillId="0" borderId="2" xfId="0" applyNumberFormat="1" applyFont="1" applyBorder="1" applyAlignment="1">
      <alignment horizontal="center"/>
    </xf>
    <xf numFmtId="2" fontId="18" fillId="2" borderId="0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1" borderId="0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1" borderId="30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 textRotation="180"/>
    </xf>
    <xf numFmtId="0" fontId="36" fillId="0" borderId="0" xfId="0" applyFont="1" applyAlignment="1">
      <alignment horizontal="center" vertical="center" textRotation="180"/>
    </xf>
    <xf numFmtId="0" fontId="37" fillId="0" borderId="0" xfId="0" applyFont="1" applyAlignment="1">
      <alignment horizontal="center" textRotation="180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176" fontId="3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176" fontId="38" fillId="0" borderId="0" xfId="0" applyNumberFormat="1" applyFont="1" applyAlignment="1">
      <alignment/>
    </xf>
    <xf numFmtId="176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2" fontId="3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5" fillId="0" borderId="0" xfId="0" applyFont="1" applyAlignment="1">
      <alignment horizontal="center" textRotation="180"/>
    </xf>
    <xf numFmtId="0" fontId="38" fillId="0" borderId="0" xfId="0" applyFont="1" applyAlignment="1">
      <alignment horizontal="center" textRotation="180"/>
    </xf>
    <xf numFmtId="2" fontId="3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2" fontId="41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" fontId="13" fillId="0" borderId="0" xfId="0" applyNumberFormat="1" applyFont="1" applyBorder="1" applyAlignment="1">
      <alignment/>
    </xf>
    <xf numFmtId="0" fontId="11" fillId="0" borderId="8" xfId="0" applyFont="1" applyBorder="1" applyAlignment="1">
      <alignment/>
    </xf>
    <xf numFmtId="2" fontId="11" fillId="0" borderId="8" xfId="0" applyNumberFormat="1" applyFont="1" applyBorder="1" applyAlignment="1">
      <alignment/>
    </xf>
    <xf numFmtId="0" fontId="11" fillId="0" borderId="4" xfId="0" applyNumberFormat="1" applyFont="1" applyBorder="1" applyAlignment="1">
      <alignment horizontal="left" vertical="center"/>
    </xf>
    <xf numFmtId="4" fontId="13" fillId="0" borderId="6" xfId="0" applyNumberFormat="1" applyFont="1" applyBorder="1" applyAlignment="1">
      <alignment horizontal="right" vertical="center"/>
    </xf>
    <xf numFmtId="0" fontId="11" fillId="0" borderId="27" xfId="0" applyNumberFormat="1" applyFont="1" applyBorder="1" applyAlignment="1">
      <alignment horizontal="left" vertical="center"/>
    </xf>
    <xf numFmtId="4" fontId="13" fillId="0" borderId="30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/>
    </xf>
    <xf numFmtId="0" fontId="13" fillId="0" borderId="9" xfId="0" applyFont="1" applyBorder="1" applyAlignment="1">
      <alignment/>
    </xf>
    <xf numFmtId="4" fontId="11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/>
    </xf>
    <xf numFmtId="0" fontId="11" fillId="0" borderId="40" xfId="0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4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center"/>
    </xf>
    <xf numFmtId="3" fontId="42" fillId="0" borderId="44" xfId="0" applyNumberFormat="1" applyFont="1" applyBorder="1" applyAlignment="1">
      <alignment/>
    </xf>
    <xf numFmtId="2" fontId="11" fillId="0" borderId="9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1" fontId="13" fillId="0" borderId="40" xfId="0" applyNumberFormat="1" applyFont="1" applyBorder="1" applyAlignment="1">
      <alignment/>
    </xf>
    <xf numFmtId="0" fontId="13" fillId="0" borderId="47" xfId="0" applyFont="1" applyBorder="1" applyAlignment="1">
      <alignment/>
    </xf>
    <xf numFmtId="3" fontId="11" fillId="0" borderId="48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49" xfId="0" applyNumberFormat="1" applyFont="1" applyBorder="1" applyAlignment="1" quotePrefix="1">
      <alignment horizontal="right"/>
    </xf>
    <xf numFmtId="3" fontId="45" fillId="0" borderId="0" xfId="0" applyNumberFormat="1" applyFont="1" applyAlignment="1">
      <alignment/>
    </xf>
    <xf numFmtId="3" fontId="5" fillId="0" borderId="50" xfId="0" applyNumberFormat="1" applyFont="1" applyBorder="1" applyAlignment="1" quotePrefix="1">
      <alignment horizontal="right"/>
    </xf>
    <xf numFmtId="3" fontId="5" fillId="0" borderId="51" xfId="0" applyNumberFormat="1" applyFont="1" applyBorder="1" applyAlignment="1" quotePrefix="1">
      <alignment horizontal="right"/>
    </xf>
    <xf numFmtId="1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2" fontId="5" fillId="0" borderId="3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172" fontId="16" fillId="0" borderId="0" xfId="0" applyNumberFormat="1" applyFont="1" applyAlignment="1">
      <alignment horizontal="center" textRotation="90"/>
    </xf>
    <xf numFmtId="172" fontId="16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J\simulering%20av%20t&#237;ma_fakb&#253;ti\2005-2006\Kopi%20af%20sim2006_sk&#250;la&#225;ri&#240;2005_2006_kladda_uttan_1r_og_1V_og_3a_men_vi&#240;_1E_14j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_FSHFjuli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J\simulering%20av%20t&#237;ma_fakb&#253;ti\2005-2006\Kopi%20af%20Kopi%20af%20sim2006_sk&#250;la&#225;ri&#240;2005_2006_kladda_uttan_1r_og_1V_og_3a_men_vi&#240;_1E_14j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lva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 2006 nn"/>
      <sheetName val="lønir"/>
      <sheetName val="lær-tímar"/>
      <sheetName val="faktímab"/>
      <sheetName val="tímarestir"/>
      <sheetName val="tal av lærararum"/>
      <sheetName val="lærarabrøkir"/>
    </sheetNames>
    <sheetDataSet>
      <sheetData sheetId="4">
        <row r="86">
          <cell r="C86">
            <v>28.663999999999998</v>
          </cell>
          <cell r="D86">
            <v>55.22</v>
          </cell>
          <cell r="E86">
            <v>97.94600000000001</v>
          </cell>
          <cell r="F86">
            <v>139.92100000000002</v>
          </cell>
          <cell r="G86">
            <v>37.544000000000004</v>
          </cell>
          <cell r="H86">
            <v>22.5</v>
          </cell>
          <cell r="I86">
            <v>4</v>
          </cell>
          <cell r="J86">
            <v>5</v>
          </cell>
          <cell r="K86">
            <v>4</v>
          </cell>
          <cell r="L86">
            <v>29.002000000000002</v>
          </cell>
          <cell r="M86">
            <v>165.104</v>
          </cell>
          <cell r="N86">
            <v>35</v>
          </cell>
          <cell r="O86">
            <v>0</v>
          </cell>
          <cell r="P86">
            <v>4</v>
          </cell>
          <cell r="Q86">
            <v>58</v>
          </cell>
          <cell r="R86">
            <v>9</v>
          </cell>
          <cell r="S86">
            <v>4.5</v>
          </cell>
          <cell r="T86">
            <v>66.06</v>
          </cell>
          <cell r="U86">
            <v>0</v>
          </cell>
          <cell r="V86">
            <v>24</v>
          </cell>
          <cell r="W86">
            <v>9</v>
          </cell>
          <cell r="X86">
            <v>12</v>
          </cell>
          <cell r="Y86">
            <v>37.486000000000004</v>
          </cell>
          <cell r="Z86">
            <v>67.56800000000001</v>
          </cell>
          <cell r="AA86">
            <v>0</v>
          </cell>
          <cell r="AB86">
            <v>131.283</v>
          </cell>
          <cell r="AC86">
            <v>87.506</v>
          </cell>
          <cell r="AD86">
            <v>4.5</v>
          </cell>
          <cell r="AE86">
            <v>31.642</v>
          </cell>
          <cell r="AF86">
            <v>72.24100000000001</v>
          </cell>
          <cell r="AG86">
            <v>0</v>
          </cell>
          <cell r="AH86">
            <v>4.5</v>
          </cell>
          <cell r="AN86">
            <v>38.2</v>
          </cell>
        </row>
        <row r="88">
          <cell r="AZ88">
            <v>149.25</v>
          </cell>
        </row>
      </sheetData>
      <sheetData sheetId="5">
        <row r="3">
          <cell r="EI3">
            <v>441</v>
          </cell>
          <cell r="FK3">
            <v>80</v>
          </cell>
        </row>
        <row r="4">
          <cell r="AF4">
            <v>5.639</v>
          </cell>
          <cell r="AH4">
            <v>5.974</v>
          </cell>
          <cell r="AJ4">
            <v>5.304</v>
          </cell>
          <cell r="AL4">
            <v>5.907</v>
          </cell>
          <cell r="EO4">
            <v>5.84</v>
          </cell>
          <cell r="GG4">
            <v>28.664</v>
          </cell>
        </row>
        <row r="5">
          <cell r="L5">
            <v>6.4</v>
          </cell>
          <cell r="N5">
            <v>6.4</v>
          </cell>
          <cell r="P5">
            <v>6.4</v>
          </cell>
          <cell r="R5">
            <v>6.4</v>
          </cell>
          <cell r="AP5">
            <v>5.82</v>
          </cell>
          <cell r="AR5">
            <v>5.220000000000001</v>
          </cell>
          <cell r="AT5">
            <v>5.5200000000000005</v>
          </cell>
          <cell r="AV5">
            <v>5.720000000000001</v>
          </cell>
          <cell r="DH5">
            <v>7.34</v>
          </cell>
          <cell r="GG5">
            <v>55.22</v>
          </cell>
        </row>
        <row r="6">
          <cell r="AF6">
            <v>4.973</v>
          </cell>
          <cell r="AH6">
            <v>5.443</v>
          </cell>
          <cell r="AJ6">
            <v>4.503</v>
          </cell>
          <cell r="AL6">
            <v>5.349</v>
          </cell>
          <cell r="AP6">
            <v>5.443</v>
          </cell>
          <cell r="AR6">
            <v>4.879</v>
          </cell>
          <cell r="AT6">
            <v>5.161</v>
          </cell>
          <cell r="AV6">
            <v>5.349</v>
          </cell>
          <cell r="CM6">
            <v>5.537</v>
          </cell>
          <cell r="CO6">
            <v>5.631</v>
          </cell>
          <cell r="CQ6">
            <v>5.631</v>
          </cell>
          <cell r="CU6">
            <v>5.349</v>
          </cell>
          <cell r="CW6">
            <v>5.255</v>
          </cell>
          <cell r="CY6">
            <v>5.443</v>
          </cell>
          <cell r="EK6">
            <v>6.2</v>
          </cell>
          <cell r="EM6">
            <v>6.2</v>
          </cell>
          <cell r="EU6">
            <v>5.9</v>
          </cell>
          <cell r="EW6">
            <v>5.7</v>
          </cell>
          <cell r="GG6">
            <v>97.946</v>
          </cell>
        </row>
        <row r="7">
          <cell r="B7">
            <v>6.618</v>
          </cell>
          <cell r="D7">
            <v>6.499</v>
          </cell>
          <cell r="F7">
            <v>6.1419999999999995</v>
          </cell>
          <cell r="AF7">
            <v>6.023</v>
          </cell>
          <cell r="AH7">
            <v>6.618</v>
          </cell>
          <cell r="AJ7">
            <v>5.428</v>
          </cell>
          <cell r="AL7">
            <v>6.499</v>
          </cell>
          <cell r="DL7">
            <v>7.144</v>
          </cell>
          <cell r="DN7">
            <v>7.144</v>
          </cell>
          <cell r="DP7">
            <v>7.144</v>
          </cell>
          <cell r="EK7">
            <v>6.618</v>
          </cell>
          <cell r="EM7">
            <v>6.618</v>
          </cell>
          <cell r="EU7">
            <v>5.957</v>
          </cell>
          <cell r="EW7">
            <v>5.7509999999999994</v>
          </cell>
          <cell r="GG7">
            <v>90.203</v>
          </cell>
        </row>
        <row r="8">
          <cell r="L8">
            <v>5.4399999999999995</v>
          </cell>
          <cell r="N8">
            <v>5.4399999999999995</v>
          </cell>
          <cell r="P8">
            <v>5.4399999999999995</v>
          </cell>
          <cell r="R8">
            <v>5.4399999999999995</v>
          </cell>
          <cell r="AP8">
            <v>5.32</v>
          </cell>
          <cell r="AR8">
            <v>4.96</v>
          </cell>
          <cell r="AT8">
            <v>5.14</v>
          </cell>
          <cell r="AV8">
            <v>5.26</v>
          </cell>
          <cell r="DN8">
            <v>7.2780000000000005</v>
          </cell>
          <cell r="GG8">
            <v>49.717999999999996</v>
          </cell>
        </row>
        <row r="9">
          <cell r="GG9">
            <v>0</v>
          </cell>
        </row>
        <row r="10">
          <cell r="L10">
            <v>4.5280000000000005</v>
          </cell>
          <cell r="N10">
            <v>4.5280000000000005</v>
          </cell>
          <cell r="P10">
            <v>4.5280000000000005</v>
          </cell>
          <cell r="R10">
            <v>4.5280000000000005</v>
          </cell>
          <cell r="BF10">
            <v>7.2</v>
          </cell>
          <cell r="BX10">
            <v>5.16</v>
          </cell>
          <cell r="DN10">
            <v>7.072</v>
          </cell>
          <cell r="GG10">
            <v>37.544000000000004</v>
          </cell>
        </row>
        <row r="11">
          <cell r="B11">
            <v>1.5</v>
          </cell>
          <cell r="D11">
            <v>1.5</v>
          </cell>
          <cell r="F11">
            <v>1.5</v>
          </cell>
          <cell r="L11">
            <v>1.5</v>
          </cell>
          <cell r="N11">
            <v>1.5</v>
          </cell>
          <cell r="P11">
            <v>1.5</v>
          </cell>
          <cell r="R11">
            <v>1.5</v>
          </cell>
          <cell r="BT11">
            <v>4.5</v>
          </cell>
          <cell r="BV11">
            <v>4.5</v>
          </cell>
          <cell r="EO11">
            <v>3</v>
          </cell>
          <cell r="GG11">
            <v>22.5</v>
          </cell>
        </row>
        <row r="12">
          <cell r="BF12">
            <v>4</v>
          </cell>
          <cell r="GG12">
            <v>4</v>
          </cell>
        </row>
        <row r="13">
          <cell r="GG13">
            <v>5</v>
          </cell>
        </row>
        <row r="14">
          <cell r="CB14">
            <v>4</v>
          </cell>
          <cell r="GG14">
            <v>4</v>
          </cell>
        </row>
        <row r="15">
          <cell r="F15">
            <v>4.5</v>
          </cell>
          <cell r="N15">
            <v>4.5280000000000005</v>
          </cell>
          <cell r="AJ15">
            <v>4.5</v>
          </cell>
          <cell r="AP15">
            <v>4.5</v>
          </cell>
          <cell r="DR15">
            <v>6.474</v>
          </cell>
          <cell r="EO15">
            <v>4.5</v>
          </cell>
          <cell r="GG15">
            <v>29.002</v>
          </cell>
        </row>
        <row r="16">
          <cell r="B16">
            <v>6.993</v>
          </cell>
          <cell r="D16">
            <v>6.874</v>
          </cell>
          <cell r="F16">
            <v>6.5169999999999995</v>
          </cell>
          <cell r="L16">
            <v>7.231</v>
          </cell>
          <cell r="N16">
            <v>7.231</v>
          </cell>
          <cell r="P16">
            <v>7.231</v>
          </cell>
          <cell r="R16">
            <v>7.231</v>
          </cell>
          <cell r="AF16">
            <v>5.023</v>
          </cell>
          <cell r="AH16">
            <v>5.618</v>
          </cell>
          <cell r="AJ16">
            <v>4.428</v>
          </cell>
          <cell r="AL16">
            <v>5.499</v>
          </cell>
          <cell r="AP16">
            <v>5.618</v>
          </cell>
          <cell r="AR16">
            <v>4.904</v>
          </cell>
          <cell r="AT16">
            <v>5.261</v>
          </cell>
          <cell r="AV16">
            <v>5.499</v>
          </cell>
          <cell r="CM16">
            <v>7.737</v>
          </cell>
          <cell r="CO16">
            <v>7.856</v>
          </cell>
          <cell r="CQ16">
            <v>7.856</v>
          </cell>
          <cell r="CU16">
            <v>7.499</v>
          </cell>
          <cell r="CW16">
            <v>7.38</v>
          </cell>
          <cell r="CY16">
            <v>7.618</v>
          </cell>
          <cell r="EK16">
            <v>7.2</v>
          </cell>
          <cell r="EM16">
            <v>7.2</v>
          </cell>
          <cell r="EU16">
            <v>6.9</v>
          </cell>
          <cell r="EW16">
            <v>6.7</v>
          </cell>
          <cell r="GG16">
            <v>165.104</v>
          </cell>
        </row>
        <row r="17">
          <cell r="AF17">
            <v>3.5</v>
          </cell>
          <cell r="AH17">
            <v>3.5</v>
          </cell>
          <cell r="AJ17">
            <v>3.5</v>
          </cell>
          <cell r="AL17">
            <v>3.5</v>
          </cell>
          <cell r="AP17">
            <v>3.5</v>
          </cell>
          <cell r="AR17">
            <v>3.5</v>
          </cell>
          <cell r="AT17">
            <v>3.5</v>
          </cell>
          <cell r="AV17">
            <v>3.5</v>
          </cell>
          <cell r="EU17">
            <v>3.5</v>
          </cell>
          <cell r="EW17">
            <v>3.5</v>
          </cell>
          <cell r="GG17">
            <v>35</v>
          </cell>
        </row>
        <row r="18">
          <cell r="GG18">
            <v>0</v>
          </cell>
        </row>
        <row r="19">
          <cell r="BP19">
            <v>4</v>
          </cell>
          <cell r="GG19">
            <v>4</v>
          </cell>
        </row>
        <row r="20">
          <cell r="CB20">
            <v>4.5</v>
          </cell>
          <cell r="CD20">
            <v>4.5</v>
          </cell>
          <cell r="EQ20">
            <v>3</v>
          </cell>
          <cell r="GG20">
            <v>58</v>
          </cell>
        </row>
        <row r="22">
          <cell r="B22">
            <v>3</v>
          </cell>
          <cell r="D22">
            <v>3</v>
          </cell>
          <cell r="F22">
            <v>3</v>
          </cell>
          <cell r="GG22">
            <v>9</v>
          </cell>
        </row>
        <row r="23">
          <cell r="GG23">
            <v>0</v>
          </cell>
        </row>
        <row r="24">
          <cell r="BT24">
            <v>4.5</v>
          </cell>
          <cell r="GG24">
            <v>4.5</v>
          </cell>
        </row>
        <row r="25">
          <cell r="B25">
            <v>4</v>
          </cell>
          <cell r="D25">
            <v>4</v>
          </cell>
          <cell r="F25">
            <v>4</v>
          </cell>
          <cell r="L25">
            <v>4.0280000000000005</v>
          </cell>
          <cell r="N25">
            <v>4.0280000000000005</v>
          </cell>
          <cell r="P25">
            <v>4.0280000000000005</v>
          </cell>
          <cell r="R25">
            <v>4.0280000000000005</v>
          </cell>
          <cell r="BL25">
            <v>8</v>
          </cell>
          <cell r="BN25">
            <v>8</v>
          </cell>
          <cell r="BX25">
            <v>5.536</v>
          </cell>
          <cell r="DP25">
            <v>8.411999999999999</v>
          </cell>
          <cell r="EO25">
            <v>4</v>
          </cell>
          <cell r="EQ25">
            <v>4</v>
          </cell>
          <cell r="GG25">
            <v>66.06</v>
          </cell>
        </row>
        <row r="26">
          <cell r="GG26">
            <v>0</v>
          </cell>
        </row>
        <row r="27">
          <cell r="CM27">
            <v>3</v>
          </cell>
          <cell r="CO27">
            <v>3</v>
          </cell>
          <cell r="CQ27">
            <v>3</v>
          </cell>
          <cell r="CU27">
            <v>3</v>
          </cell>
          <cell r="CW27">
            <v>3</v>
          </cell>
          <cell r="CY27">
            <v>3</v>
          </cell>
          <cell r="EU27">
            <v>3</v>
          </cell>
          <cell r="EW27">
            <v>3</v>
          </cell>
          <cell r="GG27">
            <v>24</v>
          </cell>
        </row>
        <row r="28">
          <cell r="AJ28">
            <v>4.5</v>
          </cell>
          <cell r="EO28">
            <v>4.5</v>
          </cell>
          <cell r="GG28">
            <v>9</v>
          </cell>
        </row>
        <row r="29">
          <cell r="BN29">
            <v>4</v>
          </cell>
          <cell r="BP29">
            <v>4</v>
          </cell>
          <cell r="FG29">
            <v>4</v>
          </cell>
          <cell r="GG29">
            <v>12</v>
          </cell>
        </row>
        <row r="30">
          <cell r="BJ30">
            <v>6.8</v>
          </cell>
          <cell r="BL30">
            <v>6.8</v>
          </cell>
          <cell r="BR30">
            <v>4</v>
          </cell>
          <cell r="DT30">
            <v>7.01</v>
          </cell>
          <cell r="DV30">
            <v>6.876</v>
          </cell>
          <cell r="EO30">
            <v>3</v>
          </cell>
          <cell r="EQ30">
            <v>3</v>
          </cell>
          <cell r="GG30">
            <v>37.486000000000004</v>
          </cell>
        </row>
        <row r="31">
          <cell r="B31">
            <v>4.5</v>
          </cell>
          <cell r="D31">
            <v>4.5</v>
          </cell>
          <cell r="L31">
            <v>4.5</v>
          </cell>
          <cell r="P31">
            <v>4.5280000000000005</v>
          </cell>
          <cell r="R31">
            <v>4.5</v>
          </cell>
          <cell r="AF31">
            <v>4.561</v>
          </cell>
          <cell r="AH31">
            <v>4.726</v>
          </cell>
          <cell r="AL31">
            <v>4.693</v>
          </cell>
          <cell r="AP31">
            <v>4.594</v>
          </cell>
          <cell r="AT31">
            <v>4.627</v>
          </cell>
          <cell r="AV31">
            <v>4.693</v>
          </cell>
          <cell r="DV31">
            <v>8.082</v>
          </cell>
          <cell r="EO31">
            <v>4.5600000000000005</v>
          </cell>
          <cell r="FA31">
            <v>4.504</v>
          </cell>
          <cell r="GG31">
            <v>67.568</v>
          </cell>
        </row>
        <row r="32">
          <cell r="GG32">
            <v>0</v>
          </cell>
        </row>
        <row r="33">
          <cell r="B33">
            <v>5.32</v>
          </cell>
          <cell r="D33">
            <v>5.26</v>
          </cell>
          <cell r="F33">
            <v>5.08</v>
          </cell>
          <cell r="DH33">
            <v>8.498999999999999</v>
          </cell>
          <cell r="EK33">
            <v>7.7059999999999995</v>
          </cell>
          <cell r="EM33">
            <v>7.7059999999999995</v>
          </cell>
          <cell r="GG33">
            <v>39.571</v>
          </cell>
        </row>
        <row r="34">
          <cell r="N34">
            <v>7.856</v>
          </cell>
          <cell r="P34">
            <v>7.856</v>
          </cell>
          <cell r="R34">
            <v>7.856</v>
          </cell>
          <cell r="AP34">
            <v>7.023</v>
          </cell>
          <cell r="AR34">
            <v>6.428</v>
          </cell>
          <cell r="AT34">
            <v>6.785</v>
          </cell>
          <cell r="AV34">
            <v>7.023</v>
          </cell>
          <cell r="BH34">
            <v>5.615</v>
          </cell>
          <cell r="DJ34">
            <v>7.412</v>
          </cell>
          <cell r="DL34">
            <v>7.546</v>
          </cell>
          <cell r="DP34">
            <v>6.742</v>
          </cell>
          <cell r="FI34">
            <v>5.714</v>
          </cell>
          <cell r="GG34">
            <v>91.712</v>
          </cell>
        </row>
        <row r="35">
          <cell r="B35">
            <v>3</v>
          </cell>
          <cell r="D35">
            <v>3</v>
          </cell>
          <cell r="F35">
            <v>3</v>
          </cell>
          <cell r="L35">
            <v>3</v>
          </cell>
          <cell r="N35">
            <v>3</v>
          </cell>
          <cell r="P35">
            <v>3</v>
          </cell>
          <cell r="R35">
            <v>3</v>
          </cell>
          <cell r="AF35">
            <v>3.561</v>
          </cell>
          <cell r="AH35">
            <v>3.726</v>
          </cell>
          <cell r="AJ35">
            <v>3.5</v>
          </cell>
          <cell r="AL35">
            <v>3.693</v>
          </cell>
          <cell r="AP35">
            <v>3.726</v>
          </cell>
          <cell r="AR35">
            <v>3.528</v>
          </cell>
          <cell r="AT35">
            <v>3.627</v>
          </cell>
          <cell r="AV35">
            <v>3.693</v>
          </cell>
          <cell r="CM35">
            <v>4</v>
          </cell>
          <cell r="CO35">
            <v>4</v>
          </cell>
          <cell r="CQ35">
            <v>4</v>
          </cell>
          <cell r="CU35">
            <v>4</v>
          </cell>
          <cell r="CW35">
            <v>4</v>
          </cell>
          <cell r="CY35">
            <v>4</v>
          </cell>
          <cell r="EK35">
            <v>3.726</v>
          </cell>
          <cell r="EM35">
            <v>3.726</v>
          </cell>
          <cell r="EU35">
            <v>3</v>
          </cell>
          <cell r="EW35">
            <v>3</v>
          </cell>
          <cell r="GG35">
            <v>87.506</v>
          </cell>
        </row>
        <row r="36">
          <cell r="BR36">
            <v>4.5</v>
          </cell>
          <cell r="GG36">
            <v>4.5</v>
          </cell>
        </row>
        <row r="37">
          <cell r="B37">
            <v>1.5</v>
          </cell>
          <cell r="D37">
            <v>1.5</v>
          </cell>
          <cell r="F37">
            <v>1.5</v>
          </cell>
          <cell r="L37">
            <v>1.5</v>
          </cell>
          <cell r="N37">
            <v>1.5</v>
          </cell>
          <cell r="P37">
            <v>1.5</v>
          </cell>
          <cell r="R37">
            <v>1.5</v>
          </cell>
          <cell r="BH37">
            <v>7.4</v>
          </cell>
          <cell r="BJ37">
            <v>4</v>
          </cell>
          <cell r="DT37">
            <v>6.742</v>
          </cell>
          <cell r="EQ37">
            <v>3</v>
          </cell>
          <cell r="GG37">
            <v>31.642</v>
          </cell>
        </row>
        <row r="38">
          <cell r="GG38">
            <v>0</v>
          </cell>
        </row>
        <row r="39">
          <cell r="B39">
            <v>5.65</v>
          </cell>
          <cell r="D39">
            <v>5.575</v>
          </cell>
          <cell r="F39">
            <v>5.35</v>
          </cell>
          <cell r="L39">
            <v>5.05</v>
          </cell>
          <cell r="AF39">
            <v>5.7</v>
          </cell>
          <cell r="AH39">
            <v>6.2</v>
          </cell>
          <cell r="AJ39">
            <v>5.2</v>
          </cell>
          <cell r="AL39">
            <v>6.1</v>
          </cell>
          <cell r="AP39">
            <v>5.2</v>
          </cell>
          <cell r="DX39">
            <v>6.6080000000000005</v>
          </cell>
          <cell r="DZ39">
            <v>6.6080000000000005</v>
          </cell>
          <cell r="EQ39">
            <v>4.5</v>
          </cell>
          <cell r="FA39">
            <v>4.5</v>
          </cell>
          <cell r="GG39">
            <v>72.24100000000001</v>
          </cell>
        </row>
        <row r="40">
          <cell r="GG40">
            <v>0</v>
          </cell>
        </row>
        <row r="41">
          <cell r="BZ41">
            <v>4.5</v>
          </cell>
          <cell r="GG41">
            <v>4.5</v>
          </cell>
        </row>
        <row r="42">
          <cell r="B42">
            <v>2</v>
          </cell>
          <cell r="D42">
            <v>2</v>
          </cell>
          <cell r="F42">
            <v>2</v>
          </cell>
          <cell r="L42">
            <v>2</v>
          </cell>
          <cell r="N42">
            <v>2</v>
          </cell>
          <cell r="P42">
            <v>2</v>
          </cell>
          <cell r="R42">
            <v>2</v>
          </cell>
          <cell r="AF42">
            <v>1</v>
          </cell>
          <cell r="AH42">
            <v>1</v>
          </cell>
          <cell r="AJ42">
            <v>1</v>
          </cell>
          <cell r="AL42">
            <v>1</v>
          </cell>
          <cell r="AP42">
            <v>1</v>
          </cell>
          <cell r="AR42">
            <v>1</v>
          </cell>
          <cell r="AT42">
            <v>1</v>
          </cell>
          <cell r="AV42">
            <v>1</v>
          </cell>
          <cell r="CM42">
            <v>1.3</v>
          </cell>
          <cell r="CO42">
            <v>1.3</v>
          </cell>
          <cell r="CQ42">
            <v>1.3</v>
          </cell>
          <cell r="CU42">
            <v>1.3</v>
          </cell>
          <cell r="CW42">
            <v>1.3</v>
          </cell>
          <cell r="CY42">
            <v>1.3</v>
          </cell>
          <cell r="EK42">
            <v>2.1</v>
          </cell>
          <cell r="EM42">
            <v>2.1</v>
          </cell>
          <cell r="EU42">
            <v>2.1</v>
          </cell>
          <cell r="EW42">
            <v>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lva 1"/>
      <sheetName val="Talva 2"/>
      <sheetName val="Talva 3 og talva 4"/>
      <sheetName val="Talva 5"/>
      <sheetName val="Talva 6"/>
    </sheetNames>
    <sheetDataSet>
      <sheetData sheetId="1">
        <row r="30">
          <cell r="G30">
            <v>13</v>
          </cell>
        </row>
      </sheetData>
      <sheetData sheetId="3">
        <row r="84">
          <cell r="H84">
            <v>96106.64487063065</v>
          </cell>
        </row>
        <row r="86">
          <cell r="I86">
            <v>1676.1674622847675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 2006 nn"/>
      <sheetName val="lønir"/>
      <sheetName val="lær-tímar"/>
      <sheetName val="faktímab"/>
      <sheetName val="tímarestir"/>
      <sheetName val="tal av lærararum"/>
      <sheetName val="lærarabrøki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-2006"/>
      <sheetName val="lær-tímar"/>
      <sheetName val="faktímab"/>
      <sheetName val="tímarestir"/>
      <sheetName val="Ark14"/>
      <sheetName val="Ark15"/>
      <sheetName val="Ark16"/>
    </sheetNames>
    <sheetDataSet>
      <sheetData sheetId="2">
        <row r="87">
          <cell r="G87">
            <v>119303.57635139968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workbookViewId="0" topLeftCell="A166">
      <selection activeCell="A1" sqref="A1:S38"/>
    </sheetView>
  </sheetViews>
  <sheetFormatPr defaultColWidth="9.140625" defaultRowHeight="13.5" customHeight="1"/>
  <cols>
    <col min="1" max="1" width="8.421875" style="513" customWidth="1"/>
    <col min="2" max="2" width="6.7109375" style="513" customWidth="1"/>
    <col min="3" max="3" width="6.7109375" style="511" customWidth="1"/>
    <col min="4" max="9" width="6.57421875" style="513" customWidth="1"/>
    <col min="10" max="10" width="10.140625" style="513" customWidth="1"/>
    <col min="11" max="16" width="6.57421875" style="513" customWidth="1"/>
    <col min="17" max="18" width="9.7109375" style="513" customWidth="1"/>
    <col min="19" max="19" width="9.421875" style="513" bestFit="1" customWidth="1"/>
    <col min="20" max="20" width="9.7109375" style="513" customWidth="1"/>
    <col min="21" max="21" width="9.28125" style="513" customWidth="1"/>
    <col min="22" max="22" width="10.7109375" style="513" customWidth="1"/>
    <col min="23" max="16384" width="9.140625" style="513" customWidth="1"/>
  </cols>
  <sheetData>
    <row r="1" spans="1:16" ht="18.75">
      <c r="A1" s="508" t="s">
        <v>343</v>
      </c>
      <c r="B1" s="509" t="s">
        <v>344</v>
      </c>
      <c r="C1" s="510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2"/>
    </row>
    <row r="2" spans="1:17" ht="13.5" customHeight="1">
      <c r="A2" s="508" t="s">
        <v>345</v>
      </c>
      <c r="B2" s="508"/>
      <c r="C2" s="514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2"/>
      <c r="Q2" s="513" t="s">
        <v>0</v>
      </c>
    </row>
    <row r="3" spans="1:16" ht="13.5" customHeight="1">
      <c r="A3" s="508"/>
      <c r="B3" s="508"/>
      <c r="C3" s="514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2"/>
    </row>
    <row r="4" spans="1:19" ht="13.5" customHeight="1">
      <c r="A4" s="1" t="s">
        <v>346</v>
      </c>
      <c r="B4" s="1"/>
      <c r="C4" s="5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6"/>
      <c r="Q4" s="26"/>
      <c r="R4" s="26"/>
      <c r="S4" s="15"/>
    </row>
    <row r="5" spans="1:19" ht="13.5" customHeight="1">
      <c r="A5" s="29"/>
      <c r="B5" s="30"/>
      <c r="C5" s="31"/>
      <c r="D5" s="33"/>
      <c r="E5" s="34"/>
      <c r="F5" s="34"/>
      <c r="G5" s="34">
        <v>2006</v>
      </c>
      <c r="H5" s="34"/>
      <c r="I5" s="34"/>
      <c r="J5" s="35"/>
      <c r="K5" s="33"/>
      <c r="L5" s="31"/>
      <c r="M5" s="34"/>
      <c r="N5" s="92"/>
      <c r="O5" s="34">
        <v>2006</v>
      </c>
      <c r="P5" s="34"/>
      <c r="Q5" s="35"/>
      <c r="R5" s="35"/>
      <c r="S5" s="516"/>
    </row>
    <row r="6" spans="1:19" ht="13.5" customHeight="1">
      <c r="A6" s="36"/>
      <c r="B6" s="37"/>
      <c r="C6" s="38"/>
      <c r="D6" s="40"/>
      <c r="E6" s="41"/>
      <c r="F6" s="41"/>
      <c r="G6" s="41" t="s">
        <v>5</v>
      </c>
      <c r="H6" s="41"/>
      <c r="I6" s="41"/>
      <c r="J6" s="42" t="s">
        <v>0</v>
      </c>
      <c r="K6" s="40"/>
      <c r="L6" s="38"/>
      <c r="M6" s="41"/>
      <c r="N6" s="93"/>
      <c r="O6" s="41" t="s">
        <v>6</v>
      </c>
      <c r="P6" s="41"/>
      <c r="Q6" s="42"/>
      <c r="R6" s="42"/>
      <c r="S6" s="517"/>
    </row>
    <row r="7" spans="1:19" ht="13.5" customHeight="1">
      <c r="A7" s="43"/>
      <c r="B7" s="44"/>
      <c r="C7" s="45"/>
      <c r="D7" s="46" t="s">
        <v>7</v>
      </c>
      <c r="E7" s="32" t="s">
        <v>8</v>
      </c>
      <c r="F7" s="47" t="s">
        <v>9</v>
      </c>
      <c r="G7" s="32" t="s">
        <v>10</v>
      </c>
      <c r="H7" s="32" t="s">
        <v>11</v>
      </c>
      <c r="I7" s="48" t="s">
        <v>12</v>
      </c>
      <c r="J7" s="49" t="s">
        <v>13</v>
      </c>
      <c r="K7" s="46" t="s">
        <v>7</v>
      </c>
      <c r="L7" s="32" t="s">
        <v>8</v>
      </c>
      <c r="M7" s="46" t="s">
        <v>9</v>
      </c>
      <c r="N7" s="94" t="s">
        <v>10</v>
      </c>
      <c r="O7" s="32" t="s">
        <v>11</v>
      </c>
      <c r="P7" s="48" t="s">
        <v>12</v>
      </c>
      <c r="Q7" s="49" t="s">
        <v>13</v>
      </c>
      <c r="R7" s="50" t="s">
        <v>13</v>
      </c>
      <c r="S7" s="518" t="s">
        <v>347</v>
      </c>
    </row>
    <row r="8" spans="1:19" ht="13.5" customHeight="1">
      <c r="A8" s="51"/>
      <c r="B8" s="52"/>
      <c r="C8" s="38" t="s">
        <v>14</v>
      </c>
      <c r="D8" s="202" t="s">
        <v>15</v>
      </c>
      <c r="E8" s="203" t="s">
        <v>16</v>
      </c>
      <c r="F8" s="54" t="s">
        <v>17</v>
      </c>
      <c r="G8" s="39" t="s">
        <v>18</v>
      </c>
      <c r="H8" s="39" t="s">
        <v>19</v>
      </c>
      <c r="I8" s="55" t="s">
        <v>20</v>
      </c>
      <c r="J8" s="56" t="s">
        <v>246</v>
      </c>
      <c r="K8" s="202" t="s">
        <v>15</v>
      </c>
      <c r="L8" s="203" t="s">
        <v>16</v>
      </c>
      <c r="M8" s="53" t="s">
        <v>17</v>
      </c>
      <c r="N8" s="57" t="s">
        <v>18</v>
      </c>
      <c r="O8" s="39" t="s">
        <v>19</v>
      </c>
      <c r="P8" s="55" t="s">
        <v>20</v>
      </c>
      <c r="Q8" s="56" t="s">
        <v>247</v>
      </c>
      <c r="R8" s="57">
        <v>2006</v>
      </c>
      <c r="S8" s="519" t="s">
        <v>348</v>
      </c>
    </row>
    <row r="9" spans="1:19" ht="13.5" customHeight="1">
      <c r="A9" s="58" t="s">
        <v>21</v>
      </c>
      <c r="B9" s="59" t="s">
        <v>22</v>
      </c>
      <c r="C9" s="60" t="s">
        <v>23</v>
      </c>
      <c r="D9" s="62">
        <f>'SIM-2006'!E4</f>
        <v>86</v>
      </c>
      <c r="E9" s="61">
        <f>'SIM-2006'!D4</f>
        <v>4</v>
      </c>
      <c r="F9" s="62">
        <f>'SIM-2006'!G4+'SIM-2006'!G6/2+'SIM-2006'!G7/2</f>
        <v>144</v>
      </c>
      <c r="G9" s="95">
        <f>'SIM-2006'!L4+'SIM-2006'!L25/6</f>
        <v>41.862</v>
      </c>
      <c r="H9" s="307">
        <f>F9+G9</f>
        <v>185.862</v>
      </c>
      <c r="I9" s="89">
        <f>'[2]Talva 5'!I86</f>
        <v>1676.1674622847675</v>
      </c>
      <c r="J9" s="89">
        <f>H9*I9*7</f>
        <v>2180750.8581262003</v>
      </c>
      <c r="K9" s="63">
        <f>'SIM-2006'!E63</f>
        <v>96</v>
      </c>
      <c r="L9" s="61">
        <f>'SIM-2006'!D63</f>
        <v>4</v>
      </c>
      <c r="M9" s="62">
        <f>'SIM-2006'!G63+'SIM-2006'!G65/2+'SIM-2006'!G66/2</f>
        <v>144</v>
      </c>
      <c r="N9" s="95">
        <f>'SIM-2006'!L63</f>
        <v>43.532000000000004</v>
      </c>
      <c r="O9" s="310">
        <f>M9+N9</f>
        <v>187.532</v>
      </c>
      <c r="P9" s="89">
        <f>'[2]Talva 5'!I86</f>
        <v>1676.1674622847675</v>
      </c>
      <c r="Q9" s="65">
        <f aca="true" t="shared" si="0" ref="Q9:Q21">O9*5*P9</f>
        <v>1571675.1826859352</v>
      </c>
      <c r="R9" s="65">
        <f>SUM(J9+Q9)</f>
        <v>3752426.0408121357</v>
      </c>
      <c r="S9" s="520">
        <f>+R9/(D9*7/12+K9*5/12)+SUM(R$22:R$33)/(D$34*7/12+K$34*5/12)</f>
        <v>49189.00660880931</v>
      </c>
    </row>
    <row r="10" spans="1:19" ht="13.5" customHeight="1">
      <c r="A10" s="66" t="s">
        <v>24</v>
      </c>
      <c r="B10" s="44"/>
      <c r="C10" s="67" t="s">
        <v>25</v>
      </c>
      <c r="D10" s="69">
        <f>'SIM-2006'!E5</f>
        <v>96</v>
      </c>
      <c r="E10" s="68">
        <f>'SIM-2006'!D5</f>
        <v>4</v>
      </c>
      <c r="F10" s="69">
        <f>'SIM-2006'!G5+'SIM-2006'!G6/2+'SIM-2006'!G7/2</f>
        <v>144</v>
      </c>
      <c r="G10" s="96">
        <f>'SIM-2006'!L5+'SIM-2006'!L25/6</f>
        <v>59.5616</v>
      </c>
      <c r="H10" s="305">
        <f>F10+G10</f>
        <v>203.5616</v>
      </c>
      <c r="I10" s="89">
        <f>I$9</f>
        <v>1676.1674622847675</v>
      </c>
      <c r="J10" s="308">
        <f>H10*I10*7</f>
        <v>2388423.3134343885</v>
      </c>
      <c r="K10" s="70">
        <f>'SIM-2006'!E64</f>
        <v>96</v>
      </c>
      <c r="L10" s="68">
        <f>'SIM-2006'!D64</f>
        <v>4</v>
      </c>
      <c r="M10" s="69">
        <f>'SIM-2006'!G64+'SIM-2006'!G65/2+'SIM-2006'!G66/2</f>
        <v>144</v>
      </c>
      <c r="N10" s="96">
        <f>'SIM-2006'!L64</f>
        <v>57.0616</v>
      </c>
      <c r="O10" s="311">
        <f>M10+N10</f>
        <v>201.0616</v>
      </c>
      <c r="P10" s="89">
        <f>P$9</f>
        <v>1676.1674622847675</v>
      </c>
      <c r="Q10" s="306">
        <f t="shared" si="0"/>
        <v>1685064.559174575</v>
      </c>
      <c r="R10" s="65">
        <f aca="true" t="shared" si="1" ref="R10:R30">SUM(J10+Q10)</f>
        <v>4073487.8726089634</v>
      </c>
      <c r="S10" s="520">
        <f>+R10/(D10*7/12+K10*5/12)+SUM(R$22:R$33)/(D$34*7/12+K$34*5/12)</f>
        <v>50004.61696720539</v>
      </c>
    </row>
    <row r="11" spans="1:19" ht="13.5" customHeight="1">
      <c r="A11" s="66" t="s">
        <v>26</v>
      </c>
      <c r="B11" s="44"/>
      <c r="C11" s="67" t="s">
        <v>27</v>
      </c>
      <c r="D11" s="69">
        <f>'SIM-2006'!E10</f>
        <v>71</v>
      </c>
      <c r="E11" s="68">
        <f>'SIM-2006'!D10</f>
        <v>4</v>
      </c>
      <c r="F11" s="69">
        <f>'SIM-2006'!G10+'SIM-2006'!G12/2+'SIM-2006'!G13/2</f>
        <v>128</v>
      </c>
      <c r="G11" s="96">
        <f>'SIM-2006'!L10+'SIM-2006'!L25/6</f>
        <v>47.535000000000004</v>
      </c>
      <c r="H11" s="305">
        <f aca="true" t="shared" si="2" ref="H11:H26">SUM(F11:G11)</f>
        <v>175.535</v>
      </c>
      <c r="I11" s="89">
        <f aca="true" t="shared" si="3" ref="I11:I31">I$9</f>
        <v>1676.1674622847675</v>
      </c>
      <c r="J11" s="308">
        <f aca="true" t="shared" si="4" ref="J11:J21">H11*I11*7</f>
        <v>2059582.3884450966</v>
      </c>
      <c r="K11" s="70">
        <f>'SIM-2006'!E69</f>
        <v>80</v>
      </c>
      <c r="L11" s="68">
        <f>'SIM-2006'!D69</f>
        <v>4</v>
      </c>
      <c r="M11" s="69">
        <f>'SIM-2006'!G69+'SIM-2006'!G71/2+'SIM-2006'!G72/2</f>
        <v>128</v>
      </c>
      <c r="N11" s="96">
        <f>'SIM-2006'!L69</f>
        <v>50.300000000000004</v>
      </c>
      <c r="O11" s="311">
        <f aca="true" t="shared" si="5" ref="O11:O29">SUM(M11:N11)</f>
        <v>178.3</v>
      </c>
      <c r="P11" s="89">
        <f aca="true" t="shared" si="6" ref="P11:P31">P$9</f>
        <v>1676.1674622847675</v>
      </c>
      <c r="Q11" s="306">
        <f t="shared" si="0"/>
        <v>1494303.29262687</v>
      </c>
      <c r="R11" s="65">
        <f t="shared" si="1"/>
        <v>3553885.681071967</v>
      </c>
      <c r="S11" s="520"/>
    </row>
    <row r="12" spans="1:21" ht="13.5" customHeight="1">
      <c r="A12" s="66" t="s">
        <v>28</v>
      </c>
      <c r="B12" s="44"/>
      <c r="C12" s="67" t="s">
        <v>29</v>
      </c>
      <c r="D12" s="69">
        <f>'SIM-2006'!E11</f>
        <v>76</v>
      </c>
      <c r="E12" s="68">
        <f>'SIM-2006'!D11</f>
        <v>4</v>
      </c>
      <c r="F12" s="69">
        <f>'SIM-2006'!G11+'SIM-2006'!G12/2+'SIM-2006'!G13/2</f>
        <v>128</v>
      </c>
      <c r="G12" s="96">
        <f>'SIM-2006'!L11+'SIM-2006'!L25/6</f>
        <v>51.4264</v>
      </c>
      <c r="H12" s="305">
        <f t="shared" si="2"/>
        <v>179.4264</v>
      </c>
      <c r="I12" s="89">
        <f t="shared" si="3"/>
        <v>1676.1674622847675</v>
      </c>
      <c r="J12" s="308">
        <f t="shared" si="4"/>
        <v>2105240.8548842412</v>
      </c>
      <c r="K12" s="70">
        <f>'SIM-2006'!E70</f>
        <v>85</v>
      </c>
      <c r="L12" s="68">
        <f>'SIM-2006'!D70</f>
        <v>4</v>
      </c>
      <c r="M12" s="69">
        <f>'SIM-2006'!G70+'SIM-2006'!G71/2+'SIM-2006'!G72/2</f>
        <v>128</v>
      </c>
      <c r="N12" s="96">
        <f>'SIM-2006'!L70</f>
        <v>54.249</v>
      </c>
      <c r="O12" s="311">
        <f t="shared" si="5"/>
        <v>182.249</v>
      </c>
      <c r="P12" s="89">
        <f t="shared" si="6"/>
        <v>1676.1674622847675</v>
      </c>
      <c r="Q12" s="306">
        <f t="shared" si="0"/>
        <v>1527399.2191696828</v>
      </c>
      <c r="R12" s="65">
        <f t="shared" si="1"/>
        <v>3632640.074053924</v>
      </c>
      <c r="S12" s="520"/>
      <c r="U12" s="521"/>
    </row>
    <row r="13" spans="1:19" ht="13.5" customHeight="1">
      <c r="A13" s="66"/>
      <c r="B13" s="44"/>
      <c r="C13" s="67" t="s">
        <v>30</v>
      </c>
      <c r="D13" s="69"/>
      <c r="E13" s="68">
        <f>'SIM-2006'!D14</f>
        <v>7</v>
      </c>
      <c r="F13" s="69">
        <f>'SIM-2006'!G14</f>
        <v>35</v>
      </c>
      <c r="G13" s="96">
        <f>'SIM-2006'!L14</f>
        <v>15</v>
      </c>
      <c r="H13" s="305">
        <f>F13+G13</f>
        <v>50</v>
      </c>
      <c r="I13" s="89">
        <f t="shared" si="3"/>
        <v>1676.1674622847675</v>
      </c>
      <c r="J13" s="308">
        <f t="shared" si="4"/>
        <v>586658.6117996686</v>
      </c>
      <c r="K13" s="70"/>
      <c r="L13" s="68">
        <f>'SIM-2006'!D73</f>
        <v>7</v>
      </c>
      <c r="M13" s="69">
        <f>'SIM-2006'!G73</f>
        <v>35</v>
      </c>
      <c r="N13" s="96">
        <f>'SIM-2006'!L73</f>
        <v>15</v>
      </c>
      <c r="O13" s="311">
        <f>M13+N13</f>
        <v>50</v>
      </c>
      <c r="P13" s="89">
        <f t="shared" si="6"/>
        <v>1676.1674622847675</v>
      </c>
      <c r="Q13" s="306">
        <f t="shared" si="0"/>
        <v>419041.8655711919</v>
      </c>
      <c r="R13" s="65">
        <f t="shared" si="1"/>
        <v>1005700.4773708605</v>
      </c>
      <c r="S13" s="520">
        <f>+(R11+R12+R13)/((D11+D12)*7/12+(K11+K12)*5/12)+SUM(R$22:R$33)/(D$34*7/12+K$34*5/12)</f>
        <v>60596.5696372164</v>
      </c>
    </row>
    <row r="14" spans="1:19" ht="13.5" customHeight="1">
      <c r="A14" s="43"/>
      <c r="B14" s="44"/>
      <c r="C14" s="67" t="s">
        <v>31</v>
      </c>
      <c r="D14" s="69">
        <f>'SIM-2006'!E17</f>
        <v>72</v>
      </c>
      <c r="E14" s="68">
        <f>'SIM-2006'!D17</f>
        <v>3</v>
      </c>
      <c r="F14" s="69">
        <f>'SIM-2006'!G17</f>
        <v>45</v>
      </c>
      <c r="G14" s="96">
        <f>'SIM-2006'!L17</f>
        <v>16.461</v>
      </c>
      <c r="H14" s="305">
        <f t="shared" si="2"/>
        <v>61.461</v>
      </c>
      <c r="I14" s="89">
        <f t="shared" si="3"/>
        <v>1676.1674622847675</v>
      </c>
      <c r="J14" s="308">
        <f>H14*I14*7+D14*1335.28</f>
        <v>817272.6587963887</v>
      </c>
      <c r="K14" s="70">
        <f>'SIM-2006'!E76</f>
        <v>70</v>
      </c>
      <c r="L14" s="68">
        <f>'SIM-2006'!D76</f>
        <v>3</v>
      </c>
      <c r="M14" s="69">
        <f>'SIM-2006'!G76</f>
        <v>45</v>
      </c>
      <c r="N14" s="96">
        <f>'SIM-2006'!L76</f>
        <v>16.035</v>
      </c>
      <c r="O14" s="311">
        <f t="shared" si="5"/>
        <v>61.035</v>
      </c>
      <c r="P14" s="89">
        <f t="shared" si="6"/>
        <v>1676.1674622847675</v>
      </c>
      <c r="Q14" s="306">
        <f t="shared" si="0"/>
        <v>511524.40530275385</v>
      </c>
      <c r="R14" s="65">
        <f t="shared" si="1"/>
        <v>1328797.0640991426</v>
      </c>
      <c r="S14" s="520"/>
    </row>
    <row r="15" spans="1:19" ht="13.5" customHeight="1">
      <c r="A15" s="43"/>
      <c r="B15" s="71"/>
      <c r="C15" s="67" t="s">
        <v>32</v>
      </c>
      <c r="D15" s="69">
        <f>'SIM-2006'!E18</f>
        <v>63</v>
      </c>
      <c r="E15" s="68">
        <f>'SIM-2006'!D18</f>
        <v>3</v>
      </c>
      <c r="F15" s="69">
        <f>'SIM-2006'!G18</f>
        <v>45</v>
      </c>
      <c r="G15" s="96">
        <f>'SIM-2006'!L18+'SIM-2006'!L25/6</f>
        <v>17.044</v>
      </c>
      <c r="H15" s="305">
        <f t="shared" si="2"/>
        <v>62.044</v>
      </c>
      <c r="I15" s="89">
        <f t="shared" si="3"/>
        <v>1676.1674622847675</v>
      </c>
      <c r="J15" s="308">
        <f>H15*I15*7+D15*1335.28</f>
        <v>812095.5782099727</v>
      </c>
      <c r="K15" s="70">
        <f>'SIM-2006'!E77</f>
        <v>75</v>
      </c>
      <c r="L15" s="68">
        <f>'SIM-2006'!D77</f>
        <v>4</v>
      </c>
      <c r="M15" s="69">
        <f>'SIM-2006'!G77</f>
        <v>60</v>
      </c>
      <c r="N15" s="96">
        <f>'SIM-2006'!L77</f>
        <v>17.475</v>
      </c>
      <c r="O15" s="311">
        <f t="shared" si="5"/>
        <v>77.475</v>
      </c>
      <c r="P15" s="89">
        <f t="shared" si="6"/>
        <v>1676.1674622847675</v>
      </c>
      <c r="Q15" s="306">
        <f t="shared" si="0"/>
        <v>649305.3707025618</v>
      </c>
      <c r="R15" s="65">
        <f t="shared" si="1"/>
        <v>1461400.9489125344</v>
      </c>
      <c r="S15" s="520"/>
    </row>
    <row r="16" spans="1:19" ht="13.5" customHeight="1">
      <c r="A16" s="43"/>
      <c r="B16" s="44"/>
      <c r="C16" s="67" t="s">
        <v>30</v>
      </c>
      <c r="D16" s="69"/>
      <c r="E16" s="68">
        <f>'SIM-2006'!D19</f>
        <v>18</v>
      </c>
      <c r="F16" s="69">
        <f>'SIM-2006'!G19</f>
        <v>91</v>
      </c>
      <c r="G16" s="96">
        <f>'SIM-2006'!L19</f>
        <v>28.279</v>
      </c>
      <c r="H16" s="305">
        <f t="shared" si="2"/>
        <v>119.279</v>
      </c>
      <c r="I16" s="89">
        <f t="shared" si="3"/>
        <v>1676.1674622847675</v>
      </c>
      <c r="J16" s="308">
        <f t="shared" si="4"/>
        <v>1399521.0511370534</v>
      </c>
      <c r="K16" s="70"/>
      <c r="L16" s="68">
        <f>'SIM-2006'!D78</f>
        <v>18</v>
      </c>
      <c r="M16" s="69">
        <f>'SIM-2006'!G78</f>
        <v>91</v>
      </c>
      <c r="N16" s="96">
        <f>'SIM-2006'!L78</f>
        <v>30.279</v>
      </c>
      <c r="O16" s="311">
        <f t="shared" si="5"/>
        <v>121.279</v>
      </c>
      <c r="P16" s="89">
        <f t="shared" si="6"/>
        <v>1676.1674622847675</v>
      </c>
      <c r="Q16" s="306">
        <f t="shared" si="0"/>
        <v>1016419.5682921716</v>
      </c>
      <c r="R16" s="65">
        <f t="shared" si="1"/>
        <v>2415940.619429225</v>
      </c>
      <c r="S16" s="520">
        <f>+(R14+R15+R16+R17)/((D14+D15)*7/12+(K14+K15)*5/12)+SUM(R$22:R$33)/(D$34*7/12+K$34*5/12)</f>
        <v>56355.90595891394</v>
      </c>
    </row>
    <row r="17" spans="1:19" ht="13.5" customHeight="1">
      <c r="A17" s="43"/>
      <c r="B17" s="44"/>
      <c r="C17" s="67" t="s">
        <v>33</v>
      </c>
      <c r="D17" s="69"/>
      <c r="E17" s="68">
        <f>'SIM-2006'!D20</f>
        <v>18</v>
      </c>
      <c r="F17" s="69">
        <f>'SIM-2006'!G20</f>
        <v>72</v>
      </c>
      <c r="G17" s="96">
        <f>'SIM-2006'!L20</f>
        <v>6.696</v>
      </c>
      <c r="H17" s="305">
        <f t="shared" si="2"/>
        <v>78.696</v>
      </c>
      <c r="I17" s="89">
        <f t="shared" si="3"/>
        <v>1676.1674622847675</v>
      </c>
      <c r="J17" s="308">
        <f t="shared" si="4"/>
        <v>923353.7222837344</v>
      </c>
      <c r="K17" s="70"/>
      <c r="L17" s="68">
        <f>'SIM-2006'!D79</f>
        <v>18</v>
      </c>
      <c r="M17" s="69">
        <f>'SIM-2006'!G79</f>
        <v>72</v>
      </c>
      <c r="N17" s="96">
        <f>'SIM-2006'!L79</f>
        <v>6.696</v>
      </c>
      <c r="O17" s="311">
        <f t="shared" si="5"/>
        <v>78.696</v>
      </c>
      <c r="P17" s="89">
        <f t="shared" si="6"/>
        <v>1676.1674622847675</v>
      </c>
      <c r="Q17" s="306">
        <f t="shared" si="0"/>
        <v>659538.3730598104</v>
      </c>
      <c r="R17" s="65">
        <f t="shared" si="1"/>
        <v>1582892.0953435446</v>
      </c>
      <c r="S17" s="520"/>
    </row>
    <row r="18" spans="1:19" ht="13.5" customHeight="1">
      <c r="A18" s="43"/>
      <c r="B18" s="44" t="s">
        <v>34</v>
      </c>
      <c r="C18" s="67" t="s">
        <v>35</v>
      </c>
      <c r="D18" s="69">
        <f>'SIM-2006'!E30</f>
        <v>48</v>
      </c>
      <c r="E18" s="68">
        <f>'SIM-2006'!D30</f>
        <v>2</v>
      </c>
      <c r="F18" s="69">
        <f>'SIM-2006'!G30+'SIM-2006'!G32</f>
        <v>38</v>
      </c>
      <c r="G18" s="96">
        <f>'SIM-2006'!L30+'SIM-2006'!L25/6</f>
        <v>30.884</v>
      </c>
      <c r="H18" s="305">
        <f t="shared" si="2"/>
        <v>68.884</v>
      </c>
      <c r="I18" s="89">
        <f t="shared" si="3"/>
        <v>1676.1674622847675</v>
      </c>
      <c r="J18" s="308">
        <f>H18*I18*7</f>
        <v>808227.8363041674</v>
      </c>
      <c r="K18" s="70">
        <f>'SIM-2006'!E89</f>
        <v>48</v>
      </c>
      <c r="L18" s="68">
        <f>'SIM-2006'!D89</f>
        <v>2</v>
      </c>
      <c r="M18" s="69">
        <f>'SIM-2006'!G89+'SIM-2006'!G91</f>
        <v>38</v>
      </c>
      <c r="N18" s="96">
        <f>'SIM-2006'!L89</f>
        <v>28.384</v>
      </c>
      <c r="O18" s="311">
        <f t="shared" si="5"/>
        <v>66.384</v>
      </c>
      <c r="P18" s="89">
        <f t="shared" si="6"/>
        <v>1676.1674622847675</v>
      </c>
      <c r="Q18" s="306">
        <f>O18*5*P18</f>
        <v>556353.5040815601</v>
      </c>
      <c r="R18" s="65">
        <f t="shared" si="1"/>
        <v>1364581.3403857276</v>
      </c>
      <c r="S18" s="520">
        <f>+(R18+R19)/(D18*7/12+K18*5/12)+SUM(R$22:R$33)/(D$34*7/12+K$34*5/12)</f>
        <v>53498.322649156464</v>
      </c>
    </row>
    <row r="19" spans="1:22" ht="13.5" customHeight="1">
      <c r="A19" s="43"/>
      <c r="B19" s="44"/>
      <c r="C19" s="67" t="s">
        <v>36</v>
      </c>
      <c r="D19" s="69"/>
      <c r="E19" s="68">
        <f>'SIM-2006'!D31</f>
        <v>11</v>
      </c>
      <c r="F19" s="69">
        <f>'SIM-2006'!G31</f>
        <v>37</v>
      </c>
      <c r="G19" s="96">
        <f>'SIM-2006'!L31</f>
        <v>4.755</v>
      </c>
      <c r="H19" s="305">
        <f t="shared" si="2"/>
        <v>41.755</v>
      </c>
      <c r="I19" s="89">
        <f t="shared" si="3"/>
        <v>1676.1674622847675</v>
      </c>
      <c r="J19" s="308">
        <f t="shared" si="4"/>
        <v>489918.60671390325</v>
      </c>
      <c r="K19" s="70"/>
      <c r="L19" s="68">
        <f>'SIM-2006'!D90</f>
        <v>11</v>
      </c>
      <c r="M19" s="69">
        <f>'SIM-2006'!G90</f>
        <v>37</v>
      </c>
      <c r="N19" s="96">
        <f>'SIM-2006'!L90</f>
        <v>4.755</v>
      </c>
      <c r="O19" s="311">
        <f t="shared" si="5"/>
        <v>41.755</v>
      </c>
      <c r="P19" s="89">
        <f t="shared" si="6"/>
        <v>1676.1674622847675</v>
      </c>
      <c r="Q19" s="306">
        <f t="shared" si="0"/>
        <v>349941.86193850235</v>
      </c>
      <c r="R19" s="65">
        <f t="shared" si="1"/>
        <v>839860.4686524055</v>
      </c>
      <c r="S19" s="522"/>
      <c r="U19" s="521"/>
      <c r="V19" s="521"/>
    </row>
    <row r="20" spans="1:19" ht="13.5" customHeight="1">
      <c r="A20" s="43"/>
      <c r="B20" s="44"/>
      <c r="C20" s="67" t="s">
        <v>37</v>
      </c>
      <c r="D20" s="69">
        <f>'SIM-2006'!E36</f>
        <v>35</v>
      </c>
      <c r="E20" s="68">
        <f>'SIM-2006'!D36</f>
        <v>2</v>
      </c>
      <c r="F20" s="69">
        <f>'SIM-2006'!G36</f>
        <v>40</v>
      </c>
      <c r="G20" s="96">
        <f>'SIM-2006'!L36</f>
        <v>15.865</v>
      </c>
      <c r="H20" s="305">
        <f t="shared" si="2"/>
        <v>55.865</v>
      </c>
      <c r="I20" s="89">
        <f t="shared" si="3"/>
        <v>1676.1674622847675</v>
      </c>
      <c r="J20" s="308">
        <f>H20*I20*7+D20*1335.28</f>
        <v>702208.4669637698</v>
      </c>
      <c r="K20" s="70">
        <f>'SIM-2006'!E95</f>
        <v>40</v>
      </c>
      <c r="L20" s="68">
        <f>'SIM-2006'!D95</f>
        <v>2</v>
      </c>
      <c r="M20" s="69">
        <f>'SIM-2006'!G95</f>
        <v>40</v>
      </c>
      <c r="N20" s="96">
        <f>'SIM-2006'!L95</f>
        <v>17.560000000000002</v>
      </c>
      <c r="O20" s="311">
        <f t="shared" si="5"/>
        <v>57.56</v>
      </c>
      <c r="P20" s="89">
        <f t="shared" si="6"/>
        <v>1676.1674622847675</v>
      </c>
      <c r="Q20" s="306">
        <f>O20*5*P20</f>
        <v>482400.9956455561</v>
      </c>
      <c r="R20" s="65">
        <f t="shared" si="1"/>
        <v>1184609.4626093258</v>
      </c>
      <c r="S20" s="523">
        <f>+(R20+R21)/(D20*7/12+K20*5/12)+SUM(R$22:R$33)/(D$34*7/12+K$34*5/12)</f>
        <v>46524.0193879358</v>
      </c>
    </row>
    <row r="21" spans="1:19" ht="13.5" customHeight="1">
      <c r="A21" s="36"/>
      <c r="B21" s="37"/>
      <c r="C21" s="166" t="s">
        <v>36</v>
      </c>
      <c r="D21" s="40"/>
      <c r="E21" s="39">
        <f>'SIM-2006'!D37</f>
        <v>2</v>
      </c>
      <c r="F21" s="40">
        <f>'SIM-2006'!G37</f>
        <v>9</v>
      </c>
      <c r="G21" s="57">
        <f>'SIM-2006'!L37</f>
        <v>1.214</v>
      </c>
      <c r="H21" s="305">
        <f t="shared" si="2"/>
        <v>10.214</v>
      </c>
      <c r="I21" s="89">
        <f t="shared" si="3"/>
        <v>1676.1674622847675</v>
      </c>
      <c r="J21" s="308">
        <f t="shared" si="4"/>
        <v>119842.62121843631</v>
      </c>
      <c r="K21" s="41"/>
      <c r="L21" s="39">
        <f>'SIM-2006'!D96</f>
        <v>3</v>
      </c>
      <c r="M21" s="524">
        <f>'SIM-2006'!G96</f>
        <v>13</v>
      </c>
      <c r="N21" s="57">
        <f>'SIM-2006'!L96</f>
        <v>3.705</v>
      </c>
      <c r="O21" s="311">
        <f t="shared" si="5"/>
        <v>16.705</v>
      </c>
      <c r="P21" s="89">
        <f t="shared" si="6"/>
        <v>1676.1674622847675</v>
      </c>
      <c r="Q21" s="306">
        <f t="shared" si="0"/>
        <v>140001.88728733518</v>
      </c>
      <c r="R21" s="65">
        <f t="shared" si="1"/>
        <v>259844.5085057715</v>
      </c>
      <c r="S21" s="523"/>
    </row>
    <row r="22" spans="1:19" ht="13.5" customHeight="1">
      <c r="A22" s="72" t="s">
        <v>38</v>
      </c>
      <c r="B22" s="73" t="s">
        <v>39</v>
      </c>
      <c r="C22" s="67"/>
      <c r="D22" s="74"/>
      <c r="E22" s="75"/>
      <c r="F22" s="74"/>
      <c r="G22" s="96">
        <v>0</v>
      </c>
      <c r="H22" s="305">
        <f>G22</f>
        <v>0</v>
      </c>
      <c r="I22" s="89">
        <f t="shared" si="3"/>
        <v>1676.1674622847675</v>
      </c>
      <c r="J22" s="308">
        <f>H22*7*I22</f>
        <v>0</v>
      </c>
      <c r="K22" s="76"/>
      <c r="L22" s="75"/>
      <c r="M22" s="74"/>
      <c r="N22" s="96">
        <v>0</v>
      </c>
      <c r="O22" s="311">
        <f t="shared" si="5"/>
        <v>0</v>
      </c>
      <c r="P22" s="89">
        <f t="shared" si="6"/>
        <v>1676.1674622847675</v>
      </c>
      <c r="Q22" s="306">
        <f>O22*5*P22</f>
        <v>0</v>
      </c>
      <c r="R22" s="65">
        <f t="shared" si="1"/>
        <v>0</v>
      </c>
      <c r="S22" s="525"/>
    </row>
    <row r="23" spans="1:27" ht="13.5" customHeight="1">
      <c r="A23" s="72" t="s">
        <v>40</v>
      </c>
      <c r="B23" s="73" t="s">
        <v>41</v>
      </c>
      <c r="C23" s="67"/>
      <c r="D23" s="74"/>
      <c r="E23" s="75"/>
      <c r="F23" s="74"/>
      <c r="G23" s="96">
        <f>'lær-tímar'!AK88</f>
        <v>38.55</v>
      </c>
      <c r="H23" s="305">
        <f t="shared" si="2"/>
        <v>38.55</v>
      </c>
      <c r="I23" s="89">
        <f t="shared" si="3"/>
        <v>1676.1674622847675</v>
      </c>
      <c r="J23" s="308">
        <f>H23*7*I23+14000</f>
        <v>466313.7896975444</v>
      </c>
      <c r="K23" s="76"/>
      <c r="L23" s="75"/>
      <c r="M23" s="74"/>
      <c r="N23" s="96">
        <f>9.25+((L9+L10+L11+L12+L14+L15)-6)*1.25+6.75+((L18+L20)-4)*1.25+(90*0.03)</f>
        <v>39.95</v>
      </c>
      <c r="O23" s="311">
        <f t="shared" si="5"/>
        <v>39.95</v>
      </c>
      <c r="P23" s="89">
        <f t="shared" si="6"/>
        <v>1676.1674622847675</v>
      </c>
      <c r="Q23" s="306">
        <f>O23*5*P23+32000+10000</f>
        <v>376814.4505913823</v>
      </c>
      <c r="R23" s="65">
        <f t="shared" si="1"/>
        <v>843128.2402889268</v>
      </c>
      <c r="S23" s="525"/>
      <c r="T23" s="511"/>
      <c r="Y23" s="511"/>
      <c r="Z23" s="512"/>
      <c r="AA23" s="511"/>
    </row>
    <row r="24" spans="1:25" ht="13.5" customHeight="1">
      <c r="A24" s="72" t="s">
        <v>24</v>
      </c>
      <c r="B24" s="73" t="s">
        <v>42</v>
      </c>
      <c r="C24" s="67"/>
      <c r="D24" s="74"/>
      <c r="E24" s="75"/>
      <c r="F24" s="74"/>
      <c r="G24" s="96">
        <f>'lær-tímar'!AL88</f>
        <v>3</v>
      </c>
      <c r="H24" s="305">
        <f t="shared" si="2"/>
        <v>3</v>
      </c>
      <c r="I24" s="89">
        <f t="shared" si="3"/>
        <v>1676.1674622847675</v>
      </c>
      <c r="J24" s="308">
        <f aca="true" t="shared" si="7" ref="J24:J30">H24*7*I24</f>
        <v>35199.51670798012</v>
      </c>
      <c r="K24" s="76"/>
      <c r="L24" s="75"/>
      <c r="M24" s="74"/>
      <c r="N24" s="96">
        <v>3</v>
      </c>
      <c r="O24" s="311">
        <f t="shared" si="5"/>
        <v>3</v>
      </c>
      <c r="P24" s="89">
        <f t="shared" si="6"/>
        <v>1676.1674622847675</v>
      </c>
      <c r="Q24" s="306">
        <f aca="true" t="shared" si="8" ref="Q24:Q31">O24*5*P24</f>
        <v>25142.51193427151</v>
      </c>
      <c r="R24" s="65">
        <f t="shared" si="1"/>
        <v>60342.02864225163</v>
      </c>
      <c r="S24" s="526"/>
      <c r="T24" s="511"/>
      <c r="Y24" s="511"/>
    </row>
    <row r="25" spans="1:25" ht="13.5" customHeight="1">
      <c r="A25" s="72" t="s">
        <v>43</v>
      </c>
      <c r="B25" s="73" t="s">
        <v>44</v>
      </c>
      <c r="C25" s="67"/>
      <c r="D25" s="74"/>
      <c r="E25" s="75"/>
      <c r="F25" s="74"/>
      <c r="G25" s="96">
        <f>'lær-tímar'!AM88</f>
        <v>13</v>
      </c>
      <c r="H25" s="305">
        <f t="shared" si="2"/>
        <v>13</v>
      </c>
      <c r="I25" s="89">
        <f t="shared" si="3"/>
        <v>1676.1674622847675</v>
      </c>
      <c r="J25" s="308">
        <f t="shared" si="7"/>
        <v>152531.23906791385</v>
      </c>
      <c r="K25" s="76"/>
      <c r="L25" s="75"/>
      <c r="M25" s="74"/>
      <c r="N25" s="96">
        <v>13</v>
      </c>
      <c r="O25" s="311">
        <f t="shared" si="5"/>
        <v>13</v>
      </c>
      <c r="P25" s="89">
        <f t="shared" si="6"/>
        <v>1676.1674622847675</v>
      </c>
      <c r="Q25" s="306">
        <f t="shared" si="8"/>
        <v>108950.88504850988</v>
      </c>
      <c r="R25" s="65">
        <f t="shared" si="1"/>
        <v>261482.1241164237</v>
      </c>
      <c r="S25" s="525"/>
      <c r="T25" s="511"/>
      <c r="Y25" s="511"/>
    </row>
    <row r="26" spans="1:25" ht="13.5" customHeight="1">
      <c r="A26" s="72" t="s">
        <v>28</v>
      </c>
      <c r="B26" s="73" t="s">
        <v>45</v>
      </c>
      <c r="C26" s="67"/>
      <c r="D26" s="74"/>
      <c r="E26" s="75"/>
      <c r="F26" s="74"/>
      <c r="G26" s="96">
        <f>'lær-tímar'!AN88</f>
        <v>38.2</v>
      </c>
      <c r="H26" s="305">
        <f t="shared" si="2"/>
        <v>38.2</v>
      </c>
      <c r="I26" s="89">
        <f t="shared" si="3"/>
        <v>1676.1674622847675</v>
      </c>
      <c r="J26" s="308">
        <f t="shared" si="7"/>
        <v>448207.1794149469</v>
      </c>
      <c r="K26" s="76"/>
      <c r="L26" s="75"/>
      <c r="M26" s="74"/>
      <c r="N26" s="96">
        <f>SUM(L9+L10)*2+SUM(L11+L12)*1+SUM(L14+L15)*1.3+SUM(L18+L20)*2.1</f>
        <v>41.5</v>
      </c>
      <c r="O26" s="311">
        <f t="shared" si="5"/>
        <v>41.5</v>
      </c>
      <c r="P26" s="89">
        <f t="shared" si="6"/>
        <v>1676.1674622847675</v>
      </c>
      <c r="Q26" s="306">
        <f t="shared" si="8"/>
        <v>347804.7484240892</v>
      </c>
      <c r="R26" s="65">
        <f t="shared" si="1"/>
        <v>796011.9278390361</v>
      </c>
      <c r="S26" s="527"/>
      <c r="T26" s="511"/>
      <c r="U26" s="521"/>
      <c r="Y26" s="511"/>
    </row>
    <row r="27" spans="1:25" ht="13.5" customHeight="1">
      <c r="A27" s="77"/>
      <c r="B27" s="73" t="s">
        <v>46</v>
      </c>
      <c r="C27" s="67"/>
      <c r="D27" s="74"/>
      <c r="E27" s="75"/>
      <c r="F27" s="74"/>
      <c r="G27" s="96">
        <f>'lær-tímar'!AO88</f>
        <v>2</v>
      </c>
      <c r="H27" s="305">
        <f>SUM(F27:G27)</f>
        <v>2</v>
      </c>
      <c r="I27" s="89">
        <f t="shared" si="3"/>
        <v>1676.1674622847675</v>
      </c>
      <c r="J27" s="308">
        <f t="shared" si="7"/>
        <v>23466.344471986744</v>
      </c>
      <c r="K27" s="76"/>
      <c r="L27" s="75"/>
      <c r="M27" s="74"/>
      <c r="N27" s="96">
        <v>2</v>
      </c>
      <c r="O27" s="311">
        <f t="shared" si="5"/>
        <v>2</v>
      </c>
      <c r="P27" s="89">
        <f t="shared" si="6"/>
        <v>1676.1674622847675</v>
      </c>
      <c r="Q27" s="306">
        <f t="shared" si="8"/>
        <v>16761.674622847673</v>
      </c>
      <c r="R27" s="65">
        <f t="shared" si="1"/>
        <v>40228.01909483442</v>
      </c>
      <c r="S27" s="527"/>
      <c r="T27" s="511"/>
      <c r="Y27" s="511"/>
    </row>
    <row r="28" spans="1:25" ht="13.5" customHeight="1">
      <c r="A28" s="77"/>
      <c r="B28" s="73" t="s">
        <v>47</v>
      </c>
      <c r="C28" s="67"/>
      <c r="D28" s="74"/>
      <c r="E28" s="75"/>
      <c r="F28" s="74"/>
      <c r="G28" s="96">
        <f>'lær-tímar'!$AP$88</f>
        <v>29.29703361629053</v>
      </c>
      <c r="H28" s="305">
        <f>SUM(F28:G28)</f>
        <v>29.29703361629053</v>
      </c>
      <c r="I28" s="89">
        <f t="shared" si="3"/>
        <v>1676.1674622847675</v>
      </c>
      <c r="J28" s="308">
        <f t="shared" si="7"/>
        <v>343747.1414236246</v>
      </c>
      <c r="K28" s="76"/>
      <c r="L28" s="75"/>
      <c r="M28" s="74"/>
      <c r="N28" s="96">
        <f>'lær-tímar'!AP88</f>
        <v>29.29703361629053</v>
      </c>
      <c r="O28" s="311">
        <f t="shared" si="5"/>
        <v>29.29703361629053</v>
      </c>
      <c r="P28" s="89">
        <f t="shared" si="6"/>
        <v>1676.1674622847675</v>
      </c>
      <c r="Q28" s="306">
        <f t="shared" si="8"/>
        <v>245533.6724454461</v>
      </c>
      <c r="R28" s="65">
        <f t="shared" si="1"/>
        <v>589280.8138690707</v>
      </c>
      <c r="S28" s="527"/>
      <c r="T28" s="511"/>
      <c r="Y28" s="511"/>
    </row>
    <row r="29" spans="1:25" ht="13.5" customHeight="1">
      <c r="A29" s="77"/>
      <c r="B29" s="73" t="s">
        <v>48</v>
      </c>
      <c r="C29" s="67"/>
      <c r="D29" s="74"/>
      <c r="E29" s="75"/>
      <c r="F29" s="74"/>
      <c r="G29" s="96">
        <f>'lær-tímar'!AR88</f>
        <v>11.5</v>
      </c>
      <c r="H29" s="305">
        <f>SUM(F29:G29)</f>
        <v>11.5</v>
      </c>
      <c r="I29" s="89">
        <f t="shared" si="3"/>
        <v>1676.1674622847675</v>
      </c>
      <c r="J29" s="308">
        <f t="shared" si="7"/>
        <v>134931.48071392378</v>
      </c>
      <c r="K29" s="76"/>
      <c r="L29" s="75"/>
      <c r="M29" s="74"/>
      <c r="N29" s="96">
        <f>'lær-tímar'!AR88</f>
        <v>11.5</v>
      </c>
      <c r="O29" s="311">
        <f t="shared" si="5"/>
        <v>11.5</v>
      </c>
      <c r="P29" s="89">
        <f t="shared" si="6"/>
        <v>1676.1674622847675</v>
      </c>
      <c r="Q29" s="306">
        <f t="shared" si="8"/>
        <v>96379.62908137412</v>
      </c>
      <c r="R29" s="65">
        <f t="shared" si="1"/>
        <v>231311.1097952979</v>
      </c>
      <c r="S29" s="527"/>
      <c r="T29" s="511"/>
      <c r="Y29" s="511"/>
    </row>
    <row r="30" spans="1:25" ht="13.5" customHeight="1">
      <c r="A30" s="77"/>
      <c r="B30" s="73" t="s">
        <v>49</v>
      </c>
      <c r="C30" s="67"/>
      <c r="D30" s="74"/>
      <c r="E30" s="75"/>
      <c r="F30" s="74"/>
      <c r="G30" s="96">
        <f>E34/2</f>
        <v>13</v>
      </c>
      <c r="H30" s="305">
        <f>SUM(F30:G30)</f>
        <v>13</v>
      </c>
      <c r="I30" s="89">
        <f t="shared" si="3"/>
        <v>1676.1674622847675</v>
      </c>
      <c r="J30" s="308">
        <f t="shared" si="7"/>
        <v>152531.23906791385</v>
      </c>
      <c r="K30" s="76"/>
      <c r="L30" s="75"/>
      <c r="M30" s="74"/>
      <c r="N30" s="96">
        <f>L34/2</f>
        <v>13.5</v>
      </c>
      <c r="O30" s="311">
        <f>SUM(M30:N30)</f>
        <v>13.5</v>
      </c>
      <c r="P30" s="89">
        <f t="shared" si="6"/>
        <v>1676.1674622847675</v>
      </c>
      <c r="Q30" s="306">
        <f t="shared" si="8"/>
        <v>113141.3037042218</v>
      </c>
      <c r="R30" s="65">
        <f t="shared" si="1"/>
        <v>265672.54277213564</v>
      </c>
      <c r="S30" s="527"/>
      <c r="T30" s="511"/>
      <c r="Y30" s="511"/>
    </row>
    <row r="31" spans="1:25" ht="13.5" customHeight="1">
      <c r="A31" s="77"/>
      <c r="B31" s="73" t="s">
        <v>50</v>
      </c>
      <c r="C31" s="67"/>
      <c r="D31" s="74"/>
      <c r="E31" s="75"/>
      <c r="F31" s="74"/>
      <c r="G31" s="96">
        <f>'SIM-2006'!M25</f>
        <v>15</v>
      </c>
      <c r="H31" s="305">
        <f>SUM(F31:G31)</f>
        <v>15</v>
      </c>
      <c r="I31" s="89">
        <f t="shared" si="3"/>
        <v>1676.1674622847675</v>
      </c>
      <c r="J31" s="86">
        <f>H31*7*I31+50000</f>
        <v>225997.58353990057</v>
      </c>
      <c r="K31" s="76"/>
      <c r="L31" s="75"/>
      <c r="M31" s="74"/>
      <c r="N31" s="96">
        <f>'SIM-2006'!M84</f>
        <v>15</v>
      </c>
      <c r="O31" s="311">
        <f>SUM(M31:N31)</f>
        <v>15</v>
      </c>
      <c r="P31" s="89">
        <f t="shared" si="6"/>
        <v>1676.1674622847675</v>
      </c>
      <c r="Q31" s="65">
        <f t="shared" si="8"/>
        <v>125712.55967135757</v>
      </c>
      <c r="R31" s="65">
        <f>SUM(J31+Q31)</f>
        <v>351710.1432112581</v>
      </c>
      <c r="S31" s="527"/>
      <c r="T31" s="511"/>
      <c r="Y31" s="511"/>
    </row>
    <row r="32" spans="1:25" ht="13.5" customHeight="1">
      <c r="A32" s="77"/>
      <c r="B32" s="73" t="s">
        <v>51</v>
      </c>
      <c r="C32" s="67"/>
      <c r="D32" s="74"/>
      <c r="E32" s="75"/>
      <c r="F32" s="76"/>
      <c r="G32" s="75"/>
      <c r="H32" s="79"/>
      <c r="I32" s="309"/>
      <c r="J32" s="78"/>
      <c r="K32" s="76"/>
      <c r="L32" s="75"/>
      <c r="M32" s="74"/>
      <c r="N32" s="97"/>
      <c r="O32" s="312"/>
      <c r="P32" s="75"/>
      <c r="Q32" s="80" t="s">
        <v>0</v>
      </c>
      <c r="R32" s="65">
        <f>SUM(R9:R31)*0.01</f>
        <v>298952.33603484766</v>
      </c>
      <c r="S32" s="527"/>
      <c r="T32" s="511"/>
      <c r="Y32" s="511"/>
    </row>
    <row r="33" spans="1:25" ht="13.5" customHeight="1">
      <c r="A33" s="36"/>
      <c r="B33" s="37" t="s">
        <v>52</v>
      </c>
      <c r="C33" s="38"/>
      <c r="D33" s="81"/>
      <c r="E33" s="82"/>
      <c r="F33" s="83"/>
      <c r="G33" s="82"/>
      <c r="H33" s="84"/>
      <c r="I33" s="85"/>
      <c r="J33" s="86">
        <f>43435.23*7*1.01*1.0025*1.015*1.0075</f>
        <v>314816.160314832</v>
      </c>
      <c r="K33" s="83"/>
      <c r="L33" s="82"/>
      <c r="M33" s="81"/>
      <c r="N33" s="98"/>
      <c r="O33" s="313"/>
      <c r="P33" s="82"/>
      <c r="Q33" s="86">
        <f>5*43435.23*1.01*1.0025*1.015*1.0075</f>
        <v>224868.68593916573</v>
      </c>
      <c r="R33" s="65">
        <f>SUM(J33+Q33)</f>
        <v>539684.8462539978</v>
      </c>
      <c r="S33" s="528"/>
      <c r="T33" s="511"/>
      <c r="Y33" s="511"/>
    </row>
    <row r="34" spans="1:27" ht="13.5" customHeight="1">
      <c r="A34" s="36"/>
      <c r="B34" s="38" t="s">
        <v>1</v>
      </c>
      <c r="C34" s="38"/>
      <c r="D34" s="53">
        <f>SUM(D9:D33)</f>
        <v>547</v>
      </c>
      <c r="E34" s="39">
        <f>SUM(E9+E10+E11+E12+E14+E15+E18+E20)</f>
        <v>26</v>
      </c>
      <c r="F34" s="54">
        <f>SUM(F9:F33)</f>
        <v>956</v>
      </c>
      <c r="G34" s="57">
        <f>SUM(G9:G33)</f>
        <v>500.13003361629063</v>
      </c>
      <c r="H34" s="90">
        <f>SUM(H9:H33)</f>
        <v>1456.1300336162903</v>
      </c>
      <c r="I34" s="41"/>
      <c r="J34" s="88">
        <f>SUM(J9:J33)-('[4]lønir-2006'!G87+'[2]Talva 5'!H84)</f>
        <v>17475428.021515552</v>
      </c>
      <c r="K34" s="54">
        <f>SUM(K9:K33)</f>
        <v>590</v>
      </c>
      <c r="L34" s="54">
        <f>SUM(L9+L10+L11+L12+L14+L15+L18+L20)</f>
        <v>27</v>
      </c>
      <c r="M34" s="53">
        <f>SUM(M9:M33)</f>
        <v>975</v>
      </c>
      <c r="N34" s="57">
        <f>SUM(N9:N33)</f>
        <v>513.7786336162906</v>
      </c>
      <c r="O34" s="90">
        <f>SUM(O9:O33)</f>
        <v>1488.7786336162906</v>
      </c>
      <c r="P34" s="55" t="s">
        <v>0</v>
      </c>
      <c r="Q34" s="86">
        <f>SUM(Q9:Q33)</f>
        <v>12744080.20700117</v>
      </c>
      <c r="R34" s="64">
        <f>SUM($J$34+$Q$34)+R32</f>
        <v>30518460.56455157</v>
      </c>
      <c r="S34" s="529"/>
      <c r="T34" s="511"/>
      <c r="Y34" s="511"/>
      <c r="Z34" s="512"/>
      <c r="AA34" s="511"/>
    </row>
    <row r="35" spans="1:19" ht="13.5" customHeight="1">
      <c r="A35" s="87"/>
      <c r="B35" s="87"/>
      <c r="C35" s="527"/>
      <c r="D35" s="527"/>
      <c r="E35" s="527"/>
      <c r="F35" s="527"/>
      <c r="G35" s="527"/>
      <c r="H35" s="527"/>
      <c r="I35" s="527"/>
      <c r="J35" s="527"/>
      <c r="K35" s="530" t="s">
        <v>349</v>
      </c>
      <c r="L35" s="87"/>
      <c r="M35" s="87"/>
      <c r="N35" s="87"/>
      <c r="O35" s="531"/>
      <c r="P35" s="532"/>
      <c r="Q35" s="89"/>
      <c r="R35" s="89">
        <f>+R34/(D34*7/12+K34*5/12)</f>
        <v>54022.94243614381</v>
      </c>
      <c r="S35" s="529"/>
    </row>
    <row r="36" spans="1:19" ht="13.5" customHeight="1">
      <c r="A36" s="87"/>
      <c r="B36" s="87"/>
      <c r="C36" s="527"/>
      <c r="D36" s="87"/>
      <c r="E36" s="87"/>
      <c r="F36" s="87"/>
      <c r="G36" s="87"/>
      <c r="H36" s="87"/>
      <c r="I36" s="87"/>
      <c r="J36" s="87"/>
      <c r="K36" s="533" t="s">
        <v>350</v>
      </c>
      <c r="L36" s="87"/>
      <c r="M36" s="87"/>
      <c r="N36" s="87"/>
      <c r="O36" s="525"/>
      <c r="P36" s="526"/>
      <c r="Q36" s="534"/>
      <c r="R36" s="534">
        <f>+H34/E34/21.5*7/12+O34/L34/21.5*5/12</f>
        <v>2.5881192093663543</v>
      </c>
      <c r="S36" s="529"/>
    </row>
    <row r="37" spans="1:19" ht="13.5" customHeight="1">
      <c r="A37" s="87"/>
      <c r="B37" s="87"/>
      <c r="C37" s="527"/>
      <c r="D37" s="87"/>
      <c r="E37" s="87"/>
      <c r="F37" s="87"/>
      <c r="G37" s="87"/>
      <c r="H37" s="87"/>
      <c r="I37" s="87"/>
      <c r="J37" s="87"/>
      <c r="K37" s="77" t="s">
        <v>351</v>
      </c>
      <c r="L37" s="535"/>
      <c r="M37" s="535"/>
      <c r="N37" s="535"/>
      <c r="O37" s="525"/>
      <c r="P37" s="526"/>
      <c r="Q37" s="534"/>
      <c r="R37" s="534">
        <f>+H34/D34/21.5*7/12+O34/K34/21.5*5/12</f>
        <v>0.12112780335226142</v>
      </c>
      <c r="S37" s="529"/>
    </row>
    <row r="38" spans="1:19" ht="13.5" customHeight="1">
      <c r="A38" s="528"/>
      <c r="B38" s="528"/>
      <c r="C38" s="527"/>
      <c r="D38" s="87"/>
      <c r="E38" s="87"/>
      <c r="F38" s="87"/>
      <c r="G38" s="87"/>
      <c r="H38" s="87"/>
      <c r="I38" s="87"/>
      <c r="J38" s="87"/>
      <c r="K38" s="36" t="s">
        <v>352</v>
      </c>
      <c r="L38" s="536"/>
      <c r="M38" s="536"/>
      <c r="N38" s="536"/>
      <c r="O38" s="537"/>
      <c r="P38" s="538"/>
      <c r="Q38" s="539"/>
      <c r="R38" s="539">
        <f>+R37*21.5</f>
        <v>2.6042477720736206</v>
      </c>
      <c r="S38" s="529"/>
    </row>
    <row r="39" spans="4:19" ht="13.5" customHeight="1"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2"/>
      <c r="Q39" s="511"/>
      <c r="R39" s="511"/>
      <c r="S39" s="511"/>
    </row>
    <row r="40" spans="4:16" ht="13.5" customHeight="1"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2"/>
    </row>
    <row r="41" spans="4:16" ht="13.5" customHeight="1"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2"/>
    </row>
    <row r="42" spans="4:16" ht="13.5" customHeight="1"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2"/>
    </row>
    <row r="43" ht="13.5" customHeight="1">
      <c r="P43" s="512"/>
    </row>
    <row r="44" ht="13.5" customHeight="1">
      <c r="P44" s="512"/>
    </row>
    <row r="45" ht="13.5" customHeight="1">
      <c r="P45" s="512"/>
    </row>
    <row r="46" ht="13.5" customHeight="1">
      <c r="P46" s="512"/>
    </row>
    <row r="47" ht="13.5" customHeight="1">
      <c r="P47" s="512"/>
    </row>
    <row r="48" ht="13.5" customHeight="1">
      <c r="P48" s="512"/>
    </row>
    <row r="49" ht="13.5" customHeight="1">
      <c r="P49" s="512"/>
    </row>
    <row r="50" ht="13.5" customHeight="1">
      <c r="P50" s="512"/>
    </row>
    <row r="51" ht="13.5" customHeight="1">
      <c r="P51" s="512"/>
    </row>
    <row r="52" ht="13.5" customHeight="1">
      <c r="P52" s="512"/>
    </row>
    <row r="53" ht="13.5" customHeight="1">
      <c r="P53" s="512"/>
    </row>
    <row r="54" ht="13.5" customHeight="1">
      <c r="P54" s="512"/>
    </row>
    <row r="55" ht="13.5" customHeight="1">
      <c r="P55" s="512"/>
    </row>
    <row r="56" ht="13.5" customHeight="1">
      <c r="P56" s="512"/>
    </row>
    <row r="57" ht="13.5" customHeight="1">
      <c r="P57" s="512"/>
    </row>
    <row r="58" ht="13.5" customHeight="1">
      <c r="P58" s="512"/>
    </row>
    <row r="59" ht="13.5" customHeight="1">
      <c r="P59" s="512"/>
    </row>
    <row r="60" ht="13.5" customHeight="1">
      <c r="P60" s="512"/>
    </row>
    <row r="61" ht="13.5" customHeight="1">
      <c r="P61" s="512"/>
    </row>
    <row r="62" ht="13.5" customHeight="1">
      <c r="P62" s="512"/>
    </row>
    <row r="63" ht="13.5" customHeight="1">
      <c r="O63" s="512"/>
    </row>
    <row r="64" ht="13.5" customHeight="1">
      <c r="O64" s="512"/>
    </row>
    <row r="65" ht="13.5" customHeight="1">
      <c r="O65" s="512"/>
    </row>
    <row r="66" ht="13.5" customHeight="1">
      <c r="O66" s="512"/>
    </row>
    <row r="67" spans="2:15" ht="13.5" customHeight="1">
      <c r="B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2"/>
    </row>
    <row r="68" spans="2:15" ht="13.5" customHeight="1">
      <c r="B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2"/>
    </row>
    <row r="69" spans="2:15" ht="13.5" customHeight="1">
      <c r="B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2"/>
    </row>
    <row r="70" spans="2:15" ht="13.5" customHeight="1">
      <c r="B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2"/>
    </row>
    <row r="71" spans="2:15" ht="13.5" customHeight="1">
      <c r="B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2"/>
    </row>
    <row r="72" spans="2:15" ht="13.5" customHeight="1">
      <c r="B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2"/>
    </row>
    <row r="73" spans="2:15" ht="13.5" customHeight="1">
      <c r="B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2"/>
    </row>
    <row r="74" spans="2:15" ht="13.5" customHeight="1">
      <c r="B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2"/>
    </row>
    <row r="75" spans="2:15" ht="13.5" customHeight="1">
      <c r="B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2"/>
    </row>
    <row r="76" spans="2:15" ht="13.5" customHeight="1">
      <c r="B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2"/>
    </row>
    <row r="77" spans="2:15" ht="13.5" customHeight="1">
      <c r="B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2"/>
    </row>
    <row r="78" spans="2:15" ht="13.5" customHeight="1">
      <c r="B78" s="511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2"/>
    </row>
    <row r="79" spans="2:15" ht="13.5" customHeight="1">
      <c r="B79" s="511"/>
      <c r="D79" s="511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2"/>
    </row>
    <row r="80" spans="2:15" ht="13.5" customHeight="1">
      <c r="B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2"/>
    </row>
    <row r="81" spans="2:15" ht="13.5" customHeight="1">
      <c r="B81" s="511"/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2"/>
    </row>
    <row r="82" spans="2:15" ht="13.5" customHeight="1">
      <c r="B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2"/>
    </row>
    <row r="83" spans="2:15" ht="13.5" customHeight="1">
      <c r="B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2"/>
    </row>
    <row r="84" spans="2:15" ht="13.5" customHeight="1">
      <c r="B84" s="511"/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2"/>
    </row>
    <row r="85" spans="2:15" ht="13.5" customHeight="1">
      <c r="B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2"/>
    </row>
    <row r="86" spans="2:15" ht="13.5" customHeight="1">
      <c r="B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2"/>
    </row>
    <row r="87" spans="2:15" ht="13.5" customHeight="1">
      <c r="B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2"/>
    </row>
    <row r="88" spans="2:15" ht="13.5" customHeight="1">
      <c r="B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2"/>
    </row>
    <row r="89" spans="2:15" ht="13.5" customHeight="1">
      <c r="B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2"/>
    </row>
    <row r="90" spans="2:15" ht="13.5" customHeight="1">
      <c r="B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2"/>
    </row>
    <row r="91" spans="2:15" ht="13.5" customHeight="1">
      <c r="B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2"/>
    </row>
    <row r="92" spans="2:15" ht="13.5" customHeight="1">
      <c r="B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2"/>
    </row>
    <row r="93" spans="2:15" ht="13.5" customHeight="1">
      <c r="B93" s="511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2"/>
    </row>
    <row r="94" spans="2:15" ht="13.5" customHeight="1">
      <c r="B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2"/>
    </row>
    <row r="95" spans="2:15" ht="13.5" customHeight="1">
      <c r="B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2"/>
    </row>
    <row r="96" spans="2:15" ht="13.5" customHeight="1">
      <c r="B96" s="511"/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2"/>
    </row>
    <row r="97" spans="2:15" ht="13.5" customHeight="1">
      <c r="B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2"/>
    </row>
    <row r="98" spans="2:15" ht="13.5" customHeight="1">
      <c r="B98" s="511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2"/>
    </row>
    <row r="99" spans="2:15" ht="13.5" customHeight="1">
      <c r="B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2"/>
    </row>
    <row r="100" spans="2:15" ht="13.5" customHeight="1">
      <c r="B100" s="511"/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2"/>
    </row>
    <row r="101" spans="2:15" ht="13.5" customHeight="1">
      <c r="B101" s="511"/>
      <c r="D101" s="511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2"/>
    </row>
    <row r="102" spans="2:15" ht="13.5" customHeight="1">
      <c r="B102" s="511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2"/>
    </row>
    <row r="103" spans="2:15" ht="13.5" customHeight="1">
      <c r="B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2"/>
    </row>
    <row r="104" spans="2:15" ht="13.5" customHeight="1">
      <c r="B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2"/>
    </row>
    <row r="105" spans="2:15" ht="13.5" customHeight="1">
      <c r="B105" s="511"/>
      <c r="D105" s="511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2"/>
    </row>
    <row r="106" spans="2:15" ht="13.5" customHeight="1">
      <c r="B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2"/>
    </row>
    <row r="107" spans="2:15" ht="13.5" customHeight="1">
      <c r="B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2"/>
    </row>
    <row r="108" spans="2:15" ht="13.5" customHeight="1">
      <c r="B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2"/>
    </row>
    <row r="109" spans="2:15" ht="13.5" customHeight="1">
      <c r="B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2"/>
    </row>
    <row r="110" spans="2:15" ht="13.5" customHeight="1">
      <c r="B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2"/>
    </row>
    <row r="111" spans="2:15" ht="13.5" customHeight="1">
      <c r="B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2"/>
    </row>
    <row r="112" spans="2:15" ht="13.5" customHeight="1">
      <c r="B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2"/>
    </row>
    <row r="113" spans="2:15" ht="13.5" customHeight="1">
      <c r="B113" s="511"/>
      <c r="D113" s="511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2"/>
    </row>
    <row r="114" spans="2:15" ht="13.5" customHeight="1">
      <c r="B114" s="511"/>
      <c r="D114" s="511"/>
      <c r="E114" s="511"/>
      <c r="F114" s="511"/>
      <c r="G114" s="511"/>
      <c r="H114" s="511"/>
      <c r="I114" s="511"/>
      <c r="J114" s="511"/>
      <c r="K114" s="511"/>
      <c r="L114" s="511"/>
      <c r="M114" s="511"/>
      <c r="N114" s="511"/>
      <c r="O114" s="512"/>
    </row>
    <row r="115" spans="2:15" ht="13.5" customHeight="1">
      <c r="B115" s="511"/>
      <c r="D115" s="511"/>
      <c r="E115" s="511"/>
      <c r="F115" s="511"/>
      <c r="G115" s="511"/>
      <c r="H115" s="511"/>
      <c r="I115" s="511"/>
      <c r="J115" s="511"/>
      <c r="K115" s="511"/>
      <c r="L115" s="511"/>
      <c r="M115" s="511"/>
      <c r="N115" s="511"/>
      <c r="O115" s="512"/>
    </row>
    <row r="116" spans="2:15" ht="13.5" customHeight="1">
      <c r="B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2"/>
    </row>
    <row r="117" spans="2:15" ht="13.5" customHeight="1">
      <c r="B117" s="511"/>
      <c r="D117" s="511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2"/>
    </row>
    <row r="118" spans="2:15" ht="13.5" customHeight="1">
      <c r="B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2"/>
    </row>
    <row r="119" spans="2:15" ht="13.5" customHeight="1">
      <c r="B119" s="511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2"/>
    </row>
    <row r="120" spans="2:15" ht="13.5" customHeight="1">
      <c r="B120" s="511"/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2"/>
    </row>
    <row r="121" spans="2:15" ht="13.5" customHeight="1">
      <c r="B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2"/>
    </row>
    <row r="122" spans="2:15" ht="13.5" customHeight="1">
      <c r="B122" s="511"/>
      <c r="D122" s="511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2"/>
    </row>
    <row r="123" spans="2:15" ht="13.5" customHeight="1">
      <c r="B123" s="511"/>
      <c r="D123" s="511"/>
      <c r="E123" s="511"/>
      <c r="F123" s="511"/>
      <c r="G123" s="511"/>
      <c r="H123" s="511"/>
      <c r="I123" s="511"/>
      <c r="J123" s="511"/>
      <c r="K123" s="511"/>
      <c r="L123" s="511"/>
      <c r="M123" s="511"/>
      <c r="N123" s="511"/>
      <c r="O123" s="512"/>
    </row>
    <row r="124" spans="2:15" ht="13.5" customHeight="1">
      <c r="B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2"/>
    </row>
    <row r="125" spans="2:15" ht="13.5" customHeight="1">
      <c r="B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2"/>
    </row>
    <row r="126" spans="2:15" ht="13.5" customHeight="1">
      <c r="B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2"/>
    </row>
    <row r="127" spans="2:15" ht="13.5" customHeight="1">
      <c r="B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2"/>
    </row>
    <row r="128" spans="2:15" ht="13.5" customHeight="1">
      <c r="B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2"/>
    </row>
    <row r="129" spans="2:15" ht="13.5" customHeight="1">
      <c r="B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2"/>
    </row>
    <row r="130" spans="2:15" ht="13.5" customHeight="1">
      <c r="B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2"/>
    </row>
    <row r="131" spans="2:15" ht="13.5" customHeight="1">
      <c r="B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2"/>
    </row>
    <row r="132" spans="2:15" ht="13.5" customHeight="1">
      <c r="B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2"/>
    </row>
    <row r="133" spans="2:15" ht="13.5" customHeight="1">
      <c r="B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2"/>
    </row>
    <row r="134" spans="2:15" ht="13.5" customHeight="1">
      <c r="B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2"/>
    </row>
    <row r="135" spans="2:15" ht="13.5" customHeight="1">
      <c r="B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2"/>
    </row>
    <row r="136" spans="2:15" ht="13.5" customHeight="1">
      <c r="B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2"/>
    </row>
    <row r="137" spans="2:15" ht="13.5" customHeight="1">
      <c r="B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2"/>
    </row>
    <row r="138" spans="2:15" ht="13.5" customHeight="1">
      <c r="B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2"/>
    </row>
    <row r="139" spans="4:16" ht="13.5" customHeight="1"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2"/>
    </row>
    <row r="140" spans="4:16" ht="13.5" customHeight="1"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2"/>
    </row>
    <row r="141" spans="4:16" ht="13.5" customHeight="1"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2"/>
    </row>
    <row r="142" spans="4:16" ht="13.5" customHeight="1"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2"/>
    </row>
    <row r="143" spans="4:16" ht="13.5" customHeight="1"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2"/>
    </row>
    <row r="144" spans="4:16" ht="13.5" customHeight="1"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2"/>
    </row>
    <row r="145" spans="4:16" ht="13.5" customHeight="1">
      <c r="D145" s="511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2"/>
    </row>
    <row r="146" spans="4:16" ht="13.5" customHeight="1">
      <c r="D146" s="511"/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2"/>
    </row>
    <row r="147" spans="4:16" ht="13.5" customHeight="1">
      <c r="D147" s="511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2"/>
    </row>
    <row r="148" spans="4:16" ht="13.5" customHeight="1">
      <c r="D148" s="511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2"/>
    </row>
    <row r="149" spans="4:16" ht="13.5" customHeight="1"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2"/>
    </row>
    <row r="150" spans="4:16" ht="13.5" customHeight="1">
      <c r="D150" s="511"/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2"/>
    </row>
    <row r="151" spans="4:16" ht="13.5" customHeight="1">
      <c r="D151" s="511"/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2"/>
    </row>
    <row r="152" spans="4:16" ht="13.5" customHeight="1">
      <c r="D152" s="511"/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2"/>
    </row>
    <row r="153" spans="4:16" ht="13.5" customHeight="1"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2"/>
    </row>
    <row r="154" spans="4:16" ht="13.5" customHeight="1">
      <c r="D154" s="511"/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2"/>
    </row>
    <row r="155" spans="4:16" ht="13.5" customHeight="1"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2"/>
    </row>
    <row r="156" spans="4:16" ht="13.5" customHeight="1">
      <c r="D156" s="511"/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2"/>
    </row>
    <row r="157" spans="4:16" ht="13.5" customHeight="1">
      <c r="D157" s="511"/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2"/>
    </row>
    <row r="158" spans="4:16" ht="13.5" customHeight="1">
      <c r="D158" s="511"/>
      <c r="E158" s="511"/>
      <c r="F158" s="511"/>
      <c r="G158" s="511"/>
      <c r="H158" s="511"/>
      <c r="I158" s="511"/>
      <c r="J158" s="511"/>
      <c r="K158" s="511"/>
      <c r="L158" s="511"/>
      <c r="M158" s="511"/>
      <c r="N158" s="511"/>
      <c r="O158" s="511"/>
      <c r="P158" s="512"/>
    </row>
    <row r="159" spans="4:16" ht="13.5" customHeight="1"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2"/>
    </row>
    <row r="160" spans="4:16" ht="13.5" customHeight="1">
      <c r="D160" s="511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2"/>
    </row>
    <row r="161" spans="4:16" ht="13.5" customHeight="1"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2"/>
    </row>
    <row r="162" spans="4:16" ht="13.5" customHeight="1"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2"/>
    </row>
    <row r="163" spans="4:16" ht="13.5" customHeight="1">
      <c r="D163" s="511"/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2"/>
    </row>
    <row r="164" spans="4:16" ht="13.5" customHeight="1">
      <c r="D164" s="511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2"/>
    </row>
    <row r="165" spans="4:16" ht="13.5" customHeight="1">
      <c r="D165" s="511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2"/>
    </row>
    <row r="166" spans="4:16" ht="13.5" customHeight="1">
      <c r="D166" s="511"/>
      <c r="E166" s="511"/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2"/>
    </row>
    <row r="167" spans="4:16" ht="13.5" customHeight="1">
      <c r="D167" s="511"/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2"/>
    </row>
    <row r="168" spans="4:16" ht="13.5" customHeight="1">
      <c r="D168" s="511"/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2"/>
    </row>
    <row r="169" spans="4:16" ht="13.5" customHeight="1">
      <c r="D169" s="511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2"/>
    </row>
    <row r="170" spans="4:16" ht="13.5" customHeight="1">
      <c r="D170" s="511"/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2"/>
    </row>
    <row r="171" spans="4:16" ht="13.5" customHeight="1">
      <c r="D171" s="511"/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2"/>
    </row>
    <row r="172" spans="4:16" ht="13.5" customHeight="1"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2"/>
    </row>
    <row r="173" spans="4:16" ht="13.5" customHeight="1">
      <c r="D173" s="511"/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2"/>
    </row>
    <row r="174" spans="4:16" ht="13.5" customHeight="1">
      <c r="D174" s="511"/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2"/>
    </row>
    <row r="175" spans="4:16" ht="13.5" customHeight="1">
      <c r="D175" s="511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2"/>
    </row>
    <row r="176" spans="4:16" ht="13.5" customHeight="1">
      <c r="D176" s="511"/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2"/>
    </row>
    <row r="177" spans="4:16" ht="13.5" customHeight="1">
      <c r="D177" s="511"/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2"/>
    </row>
    <row r="178" spans="4:16" ht="13.5" customHeight="1">
      <c r="D178" s="511"/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2"/>
    </row>
    <row r="179" spans="4:16" ht="13.5" customHeight="1">
      <c r="D179" s="511"/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2"/>
    </row>
    <row r="180" spans="4:16" ht="13.5" customHeight="1">
      <c r="D180" s="511"/>
      <c r="E180" s="511"/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2"/>
    </row>
  </sheetData>
  <printOptions gridLines="1" horizontalCentered="1" verticalCentered="1"/>
  <pageMargins left="0.7874015748031497" right="0.7874015748031497" top="0.5905511811023623" bottom="0.5905511811023623" header="0.31496062992125984" footer="0.5118110236220472"/>
  <pageSetup horizontalDpi="300" verticalDpi="300" orientation="landscape" paperSize="9" scale="90" r:id="rId1"/>
  <headerFooter alignWithMargins="0">
    <oddHeader xml:space="preserve">&amp;C </oddHeader>
    <oddFooter>&amp;CSíða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90">
      <selection activeCell="L110" sqref="L110"/>
    </sheetView>
  </sheetViews>
  <sheetFormatPr defaultColWidth="9.140625" defaultRowHeight="12.75"/>
  <cols>
    <col min="1" max="1" width="3.8515625" style="0" customWidth="1"/>
    <col min="3" max="3" width="8.140625" style="0" customWidth="1"/>
    <col min="4" max="6" width="4.7109375" style="0" customWidth="1"/>
    <col min="7" max="7" width="4.8515625" style="0" customWidth="1"/>
    <col min="8" max="8" width="4.8515625" style="2" customWidth="1"/>
    <col min="9" max="9" width="4.7109375" style="0" customWidth="1"/>
    <col min="10" max="10" width="4.7109375" style="7" customWidth="1"/>
    <col min="11" max="11" width="4.7109375" style="24" customWidth="1"/>
    <col min="12" max="13" width="4.7109375" style="7" customWidth="1"/>
    <col min="14" max="14" width="4.421875" style="200" customWidth="1"/>
    <col min="15" max="15" width="5.7109375" style="0" customWidth="1"/>
  </cols>
  <sheetData>
    <row r="1" spans="1:12" ht="12.75">
      <c r="A1" s="16" t="s">
        <v>315</v>
      </c>
      <c r="B1" s="3"/>
      <c r="F1" s="8"/>
      <c r="G1" s="10" t="s">
        <v>53</v>
      </c>
      <c r="H1" s="18"/>
      <c r="I1" s="9"/>
      <c r="J1" s="21"/>
      <c r="K1" s="22" t="s">
        <v>54</v>
      </c>
      <c r="L1" s="20"/>
    </row>
    <row r="2" spans="4:13" ht="46.5">
      <c r="D2" s="11" t="s">
        <v>55</v>
      </c>
      <c r="E2" s="11" t="s">
        <v>2</v>
      </c>
      <c r="F2" s="11" t="s">
        <v>56</v>
      </c>
      <c r="G2" s="12" t="s">
        <v>57</v>
      </c>
      <c r="H2" s="19" t="s">
        <v>58</v>
      </c>
      <c r="I2" s="11"/>
      <c r="J2" s="13" t="s">
        <v>59</v>
      </c>
      <c r="K2" s="399" t="s">
        <v>314</v>
      </c>
      <c r="L2" s="13" t="s">
        <v>57</v>
      </c>
      <c r="M2" s="13" t="s">
        <v>61</v>
      </c>
    </row>
    <row r="3" spans="1:9" ht="12.75">
      <c r="A3" t="s">
        <v>62</v>
      </c>
      <c r="D3" s="3"/>
      <c r="E3" s="3"/>
      <c r="F3" s="3"/>
      <c r="G3" s="3"/>
      <c r="H3" s="7"/>
      <c r="I3" s="3"/>
    </row>
    <row r="4" spans="2:13" ht="12.75">
      <c r="B4" s="3" t="s">
        <v>63</v>
      </c>
      <c r="D4" s="3">
        <v>4</v>
      </c>
      <c r="E4" s="3">
        <v>86</v>
      </c>
      <c r="F4" s="3">
        <v>30</v>
      </c>
      <c r="G4" s="3">
        <f>$D$4*$F$4</f>
        <v>120</v>
      </c>
      <c r="H4" s="17">
        <f>$D$4*34</f>
        <v>136</v>
      </c>
      <c r="I4" s="3"/>
      <c r="J4" s="7">
        <f>E4*(0.119+0.022+0.119+0.022+0.06+0.075)</f>
        <v>35.862</v>
      </c>
      <c r="K4" s="24">
        <f>D4*(0.5+0.375)</f>
        <v>3.5</v>
      </c>
      <c r="L4" s="7">
        <f>SUM(J4+K4)</f>
        <v>39.362</v>
      </c>
      <c r="M4" s="7">
        <f>SUM(G4+L4)</f>
        <v>159.362</v>
      </c>
    </row>
    <row r="5" spans="2:13" ht="12.75">
      <c r="B5" s="3" t="s">
        <v>64</v>
      </c>
      <c r="D5" s="3">
        <v>4</v>
      </c>
      <c r="E5" s="3">
        <v>96</v>
      </c>
      <c r="F5" s="3">
        <v>30</v>
      </c>
      <c r="G5" s="3">
        <f>$D$5*$F$5</f>
        <v>120</v>
      </c>
      <c r="H5" s="17">
        <f>$D$5*34</f>
        <v>136</v>
      </c>
      <c r="I5" s="3"/>
      <c r="J5" s="7">
        <f>E5*(0.1+0.06+0.022*0.8+0.022+0.119+0.022+0.119+0.075*0.2)</f>
        <v>45.5616</v>
      </c>
      <c r="K5" s="24">
        <f>D5*(1+1+0.5+0.375)</f>
        <v>11.5</v>
      </c>
      <c r="L5" s="7">
        <f>SUM(J5+K5)</f>
        <v>57.0616</v>
      </c>
      <c r="M5" s="7">
        <f>SUM(G5+L5)</f>
        <v>177.0616</v>
      </c>
    </row>
    <row r="6" spans="2:13" ht="12.75">
      <c r="B6" s="3" t="s">
        <v>65</v>
      </c>
      <c r="D6" s="5">
        <f>SUM(D4:D5)</f>
        <v>8</v>
      </c>
      <c r="E6" s="3"/>
      <c r="F6" s="3"/>
      <c r="G6" s="3">
        <f>D6</f>
        <v>8</v>
      </c>
      <c r="H6" s="17">
        <f>G6</f>
        <v>8</v>
      </c>
      <c r="I6" s="3"/>
      <c r="M6" s="7">
        <f>G6</f>
        <v>8</v>
      </c>
    </row>
    <row r="7" spans="2:13" ht="12.75">
      <c r="B7" s="3" t="s">
        <v>66</v>
      </c>
      <c r="D7" s="3">
        <v>10</v>
      </c>
      <c r="E7" s="3"/>
      <c r="F7" s="3">
        <v>10</v>
      </c>
      <c r="G7" s="3">
        <f>D7*4</f>
        <v>40</v>
      </c>
      <c r="H7" s="17"/>
      <c r="I7" s="3"/>
      <c r="L7" s="7">
        <f>SUM(J7+K7)</f>
        <v>0</v>
      </c>
      <c r="M7" s="7">
        <f>SUM(G7+L7)</f>
        <v>40</v>
      </c>
    </row>
    <row r="8" spans="4:14" ht="12.75">
      <c r="D8" s="3"/>
      <c r="E8" s="5">
        <f>SUM(E4:E5)</f>
        <v>182</v>
      </c>
      <c r="F8" s="3"/>
      <c r="G8" s="5">
        <f>SUM(G4:G7)</f>
        <v>288</v>
      </c>
      <c r="H8" s="17"/>
      <c r="I8" s="5"/>
      <c r="L8" s="14">
        <f>SUM(L4:L7)</f>
        <v>96.4236</v>
      </c>
      <c r="M8" s="14">
        <f>SUM(M4:M7)</f>
        <v>384.42359999999996</v>
      </c>
      <c r="N8" s="199">
        <f>SUM(M4:M7)</f>
        <v>384.42359999999996</v>
      </c>
    </row>
    <row r="9" spans="1:9" ht="12.75">
      <c r="A9" t="s">
        <v>67</v>
      </c>
      <c r="D9" s="3"/>
      <c r="E9" s="5"/>
      <c r="F9" s="3"/>
      <c r="G9" s="3"/>
      <c r="H9" s="17"/>
      <c r="I9" s="3"/>
    </row>
    <row r="10" spans="2:13" ht="12.75">
      <c r="B10" s="3" t="s">
        <v>68</v>
      </c>
      <c r="D10" s="3">
        <v>4</v>
      </c>
      <c r="E10" s="3">
        <v>71</v>
      </c>
      <c r="F10" s="3">
        <v>26</v>
      </c>
      <c r="G10" s="3">
        <f>D10*F10</f>
        <v>104</v>
      </c>
      <c r="H10" s="17">
        <f>D10*30</f>
        <v>120</v>
      </c>
      <c r="I10" s="3"/>
      <c r="J10" s="7">
        <f>E10*(0.067+0.094+0.119+0.033+0.119+0.02+0.033+0.1)</f>
        <v>41.535000000000004</v>
      </c>
      <c r="K10" s="24">
        <f>D10*(0.5+0.375)</f>
        <v>3.5</v>
      </c>
      <c r="L10" s="7">
        <f>SUM(J10+K10)</f>
        <v>45.035000000000004</v>
      </c>
      <c r="M10" s="7">
        <f>SUM(G10+L10)</f>
        <v>149.035</v>
      </c>
    </row>
    <row r="11" spans="2:13" ht="12.75">
      <c r="B11" s="3" t="s">
        <v>69</v>
      </c>
      <c r="D11" s="3">
        <v>4</v>
      </c>
      <c r="E11" s="3">
        <v>76</v>
      </c>
      <c r="F11" s="3">
        <v>26</v>
      </c>
      <c r="G11" s="3">
        <f>D11*F11</f>
        <v>104</v>
      </c>
      <c r="H11" s="17">
        <f>D11*30</f>
        <v>120</v>
      </c>
      <c r="I11" s="3"/>
      <c r="J11" s="7">
        <f>E11*(0.1+0.094+0.06+0.033*0.8+0.119+0.02+0.119+0.033+0.1*0.2)</f>
        <v>44.946400000000004</v>
      </c>
      <c r="K11" s="24">
        <f>D11*(0.62+0.375)</f>
        <v>3.98</v>
      </c>
      <c r="L11" s="7">
        <f>SUM(J11+K11)</f>
        <v>48.9264</v>
      </c>
      <c r="M11" s="7">
        <f>SUM(G11+L11)</f>
        <v>152.9264</v>
      </c>
    </row>
    <row r="12" spans="2:13" ht="12.75">
      <c r="B12" s="3" t="s">
        <v>65</v>
      </c>
      <c r="D12" s="5">
        <f>SUM(D10:D11)</f>
        <v>8</v>
      </c>
      <c r="E12" s="3"/>
      <c r="F12" s="3"/>
      <c r="G12" s="3">
        <f>D12</f>
        <v>8</v>
      </c>
      <c r="H12" s="17">
        <f>G12</f>
        <v>8</v>
      </c>
      <c r="I12" s="3"/>
      <c r="M12" s="7">
        <f>G12</f>
        <v>8</v>
      </c>
    </row>
    <row r="13" spans="2:17" ht="12.75">
      <c r="B13" s="3" t="s">
        <v>70</v>
      </c>
      <c r="D13" s="3">
        <v>10</v>
      </c>
      <c r="E13" s="3"/>
      <c r="F13" s="3">
        <v>4</v>
      </c>
      <c r="G13" s="3">
        <f>D13*4</f>
        <v>40</v>
      </c>
      <c r="H13" s="17"/>
      <c r="I13" s="3"/>
      <c r="M13" s="7">
        <f>SUM(G13+L13)</f>
        <v>40</v>
      </c>
      <c r="N13" s="199">
        <f>SUM(M10:M13)</f>
        <v>349.9614</v>
      </c>
      <c r="Q13" s="2"/>
    </row>
    <row r="14" spans="2:15" ht="12.75">
      <c r="B14" s="3" t="s">
        <v>30</v>
      </c>
      <c r="D14" s="3">
        <v>7</v>
      </c>
      <c r="E14" s="3"/>
      <c r="F14" s="3">
        <v>5</v>
      </c>
      <c r="G14" s="3">
        <f>(D14*F14)</f>
        <v>35</v>
      </c>
      <c r="H14" s="17"/>
      <c r="I14" s="3"/>
      <c r="J14" s="7">
        <f>120*0.1</f>
        <v>12</v>
      </c>
      <c r="K14" s="24">
        <f>(1+1+1)</f>
        <v>3</v>
      </c>
      <c r="L14" s="7">
        <f>SUM(J14+K14)</f>
        <v>15</v>
      </c>
      <c r="M14" s="7">
        <f>SUM(G14+L14)</f>
        <v>50</v>
      </c>
      <c r="N14" s="199">
        <f>M14</f>
        <v>50</v>
      </c>
      <c r="O14" s="2"/>
    </row>
    <row r="15" spans="4:13" ht="12.75">
      <c r="D15" s="3"/>
      <c r="E15" s="5">
        <f>SUM(E10:E11)</f>
        <v>147</v>
      </c>
      <c r="F15" s="3"/>
      <c r="G15" s="5">
        <f>SUM(G10:G13)</f>
        <v>256</v>
      </c>
      <c r="H15" s="17"/>
      <c r="I15" s="5"/>
      <c r="L15" s="14">
        <f>SUM(L10:L14)</f>
        <v>108.9614</v>
      </c>
      <c r="M15" s="14">
        <f>SUM(M10:M14)</f>
        <v>399.9614</v>
      </c>
    </row>
    <row r="16" spans="1:9" ht="12.75">
      <c r="A16" t="s">
        <v>71</v>
      </c>
      <c r="D16" s="3"/>
      <c r="E16" s="3"/>
      <c r="F16" s="3"/>
      <c r="G16" s="3"/>
      <c r="H16" s="17"/>
      <c r="I16" s="3"/>
    </row>
    <row r="17" spans="2:13" ht="12.75">
      <c r="B17" s="3" t="s">
        <v>72</v>
      </c>
      <c r="D17" s="3">
        <v>3</v>
      </c>
      <c r="E17" s="3">
        <v>72</v>
      </c>
      <c r="F17" s="3">
        <v>15</v>
      </c>
      <c r="G17" s="3">
        <f>D17*F17</f>
        <v>45</v>
      </c>
      <c r="H17" s="17">
        <f>D17*F17</f>
        <v>45</v>
      </c>
      <c r="I17" s="3"/>
      <c r="J17" s="7">
        <f>E17*(0.094+0.119)</f>
        <v>15.336</v>
      </c>
      <c r="K17" s="24">
        <f>D17*(0.375)</f>
        <v>1.125</v>
      </c>
      <c r="L17" s="7">
        <f>SUM(J17+K17)</f>
        <v>16.461</v>
      </c>
      <c r="M17" s="7">
        <f>SUM(G17+L17)</f>
        <v>61.461</v>
      </c>
    </row>
    <row r="18" spans="2:14" ht="12.75">
      <c r="B18" s="3" t="s">
        <v>73</v>
      </c>
      <c r="D18" s="3">
        <v>3</v>
      </c>
      <c r="E18" s="3">
        <v>63</v>
      </c>
      <c r="F18" s="3">
        <v>15</v>
      </c>
      <c r="G18" s="3">
        <f>D18*F18</f>
        <v>45</v>
      </c>
      <c r="H18" s="17">
        <f>D18*F18</f>
        <v>45</v>
      </c>
      <c r="I18" s="3"/>
      <c r="J18" s="7">
        <f>E18*(0.094+0.119)</f>
        <v>13.419</v>
      </c>
      <c r="K18" s="24">
        <f>D18*(0.375)</f>
        <v>1.125</v>
      </c>
      <c r="L18" s="7">
        <f>SUM(J18+K18)</f>
        <v>14.544</v>
      </c>
      <c r="M18" s="7">
        <f>SUM(G18+L18)</f>
        <v>59.544</v>
      </c>
      <c r="N18" s="199">
        <f>SUM(M17:M18)</f>
        <v>121.005</v>
      </c>
    </row>
    <row r="19" spans="2:13" ht="12.75">
      <c r="B19" s="3" t="s">
        <v>30</v>
      </c>
      <c r="D19" s="3">
        <v>18</v>
      </c>
      <c r="E19" s="3"/>
      <c r="F19" s="3">
        <v>5</v>
      </c>
      <c r="G19" s="3">
        <f>D19*F19+1</f>
        <v>91</v>
      </c>
      <c r="H19" s="17"/>
      <c r="I19" s="3"/>
      <c r="J19" s="7">
        <f>170*0.134+21*0.119</f>
        <v>25.279</v>
      </c>
      <c r="K19" s="24">
        <f>(1+1+1)</f>
        <v>3</v>
      </c>
      <c r="L19" s="7">
        <f>SUM(J19+K19)</f>
        <v>28.279</v>
      </c>
      <c r="M19" s="7">
        <f>SUM(G19+L19)</f>
        <v>119.279</v>
      </c>
    </row>
    <row r="20" spans="2:13" ht="12.75">
      <c r="B20" s="3" t="s">
        <v>33</v>
      </c>
      <c r="D20" s="3">
        <v>18</v>
      </c>
      <c r="E20" s="3"/>
      <c r="F20" s="3">
        <v>4</v>
      </c>
      <c r="G20" s="3">
        <f>D20*F20</f>
        <v>72</v>
      </c>
      <c r="H20" s="17"/>
      <c r="I20" s="3"/>
      <c r="J20" s="7">
        <f>11*0.06+2*0.5+0.5+8*0.067+0.5+0.5</f>
        <v>3.696</v>
      </c>
      <c r="K20" s="24">
        <f>0.5+2*0.5+0.5+1</f>
        <v>3</v>
      </c>
      <c r="L20" s="7">
        <f>SUM(J20+K20)</f>
        <v>6.696</v>
      </c>
      <c r="M20" s="7">
        <f>SUM(G20+L20)</f>
        <v>78.696</v>
      </c>
    </row>
    <row r="21" spans="2:15" ht="12.75">
      <c r="B21" s="3"/>
      <c r="D21" s="5">
        <f>SUM(D17:D18)</f>
        <v>6</v>
      </c>
      <c r="E21" s="5">
        <f>SUM(E17:E18)</f>
        <v>135</v>
      </c>
      <c r="F21" s="3"/>
      <c r="G21" s="5">
        <f>SUM(G17:G20)</f>
        <v>253</v>
      </c>
      <c r="H21" s="17"/>
      <c r="I21" s="5"/>
      <c r="L21" s="14">
        <f>SUM(L17:L20)</f>
        <v>65.98</v>
      </c>
      <c r="M21" s="14">
        <f>SUM(M17:M20)</f>
        <v>318.98</v>
      </c>
      <c r="N21" s="199">
        <f>SUM(M19:M20)</f>
        <v>197.975</v>
      </c>
      <c r="O21" s="199">
        <f>SUM(N4:N21)</f>
        <v>1103.365</v>
      </c>
    </row>
    <row r="22" spans="2:15" ht="12.75">
      <c r="B22" s="3"/>
      <c r="D22" s="3"/>
      <c r="E22" s="3"/>
      <c r="F22" s="3"/>
      <c r="G22" s="3"/>
      <c r="I22" s="3"/>
      <c r="O22" s="2"/>
    </row>
    <row r="23" spans="2:15" ht="12.75">
      <c r="B23" s="3" t="s">
        <v>74</v>
      </c>
      <c r="D23" s="5">
        <f>SUM(D14+D19+D20)</f>
        <v>43</v>
      </c>
      <c r="E23" s="5">
        <f>E8+E15+E21</f>
        <v>464</v>
      </c>
      <c r="H23" s="17">
        <f>SUM(E8+E15+E21)*0.2</f>
        <v>92.80000000000001</v>
      </c>
      <c r="J23" s="2"/>
      <c r="K23" s="25"/>
      <c r="L23" s="2"/>
      <c r="M23"/>
      <c r="O23" s="2"/>
    </row>
    <row r="24" spans="2:13" ht="12.75">
      <c r="B24" s="3"/>
      <c r="D24" s="5"/>
      <c r="H24" s="17">
        <v>104</v>
      </c>
      <c r="J24" s="2"/>
      <c r="K24" s="25"/>
      <c r="L24" s="2"/>
      <c r="M24"/>
    </row>
    <row r="25" spans="2:15" ht="12.75">
      <c r="B25" s="3" t="s">
        <v>75</v>
      </c>
      <c r="D25" s="3"/>
      <c r="E25" s="3"/>
      <c r="F25" s="3"/>
      <c r="G25" s="3"/>
      <c r="H25" s="17"/>
      <c r="I25" s="3"/>
      <c r="L25" s="7">
        <v>15</v>
      </c>
      <c r="M25" s="7">
        <f>L25</f>
        <v>15</v>
      </c>
      <c r="N25" s="200">
        <v>15</v>
      </c>
      <c r="O25" s="7">
        <f>L25</f>
        <v>15</v>
      </c>
    </row>
    <row r="26" spans="2:9" ht="12.75">
      <c r="B26" s="3" t="s">
        <v>76</v>
      </c>
      <c r="E26" s="3"/>
      <c r="F26" s="3"/>
      <c r="G26" s="3">
        <f>SUM(G4+G5+G6+G7)+SUM(G10+G11+G12+G13+G14)+SUM(G17+G18+G19+G20)</f>
        <v>832</v>
      </c>
      <c r="H26" s="17">
        <f>SUM(H4+H5+H6+H7+H10+H11+H12+H13+H17+H18+H23+H24)</f>
        <v>814.8</v>
      </c>
      <c r="I26" s="3"/>
    </row>
    <row r="27" spans="2:14" s="3" customFormat="1" ht="11.25">
      <c r="B27" s="3" t="s">
        <v>259</v>
      </c>
      <c r="H27" s="7"/>
      <c r="J27" s="7"/>
      <c r="K27" s="24"/>
      <c r="L27" s="7"/>
      <c r="M27" s="7">
        <f>M8+M15+M21</f>
        <v>1103.365</v>
      </c>
      <c r="N27" s="200"/>
    </row>
    <row r="28" spans="4:9" ht="12.75">
      <c r="D28" s="3"/>
      <c r="E28" s="3"/>
      <c r="F28" s="3"/>
      <c r="G28" s="3"/>
      <c r="H28" s="17"/>
      <c r="I28" s="3"/>
    </row>
    <row r="29" spans="1:9" ht="12.75">
      <c r="A29" t="s">
        <v>77</v>
      </c>
      <c r="D29" s="3"/>
      <c r="E29" s="3"/>
      <c r="F29" s="3"/>
      <c r="G29" s="3"/>
      <c r="H29" s="17"/>
      <c r="I29" s="3"/>
    </row>
    <row r="30" spans="2:13" ht="12.75">
      <c r="B30" s="3" t="s">
        <v>78</v>
      </c>
      <c r="D30" s="3">
        <v>2</v>
      </c>
      <c r="E30" s="3">
        <v>48</v>
      </c>
      <c r="F30" s="3">
        <v>19</v>
      </c>
      <c r="G30" s="3">
        <f>D30*F30</f>
        <v>38</v>
      </c>
      <c r="H30" s="17"/>
      <c r="I30" s="3"/>
      <c r="J30" s="7">
        <f>E30*(0.1+0.119+0.1+0.033+0.123+0.033)</f>
        <v>24.384</v>
      </c>
      <c r="K30" s="24">
        <f>D30*(1+1)</f>
        <v>4</v>
      </c>
      <c r="L30" s="7">
        <f>SUM(J30+K30)</f>
        <v>28.384</v>
      </c>
      <c r="M30" s="7">
        <f>SUM(G30+L30)</f>
        <v>66.384</v>
      </c>
    </row>
    <row r="31" spans="2:13" ht="12.75">
      <c r="B31" s="3" t="s">
        <v>242</v>
      </c>
      <c r="D31" s="3">
        <v>11</v>
      </c>
      <c r="E31" s="3"/>
      <c r="F31" s="4" t="s">
        <v>79</v>
      </c>
      <c r="G31" s="3">
        <f>(4*4)+(7*3)</f>
        <v>37</v>
      </c>
      <c r="H31" s="17"/>
      <c r="I31" s="3"/>
      <c r="J31" s="7">
        <f>15*(0.067+0.028+0.033+0.028+0.061)</f>
        <v>3.255</v>
      </c>
      <c r="K31" s="24">
        <f>0.5+0.5+0.5</f>
        <v>1.5</v>
      </c>
      <c r="L31" s="7">
        <f>SUM(J31+K31)</f>
        <v>4.755</v>
      </c>
      <c r="M31" s="7">
        <f>SUM(G31+L31)</f>
        <v>41.755</v>
      </c>
    </row>
    <row r="32" spans="2:13" ht="12.75">
      <c r="B32" s="3" t="s">
        <v>65</v>
      </c>
      <c r="D32" s="3"/>
      <c r="E32" s="3"/>
      <c r="F32" s="3"/>
      <c r="G32" s="3"/>
      <c r="H32" s="17"/>
      <c r="I32" s="3"/>
      <c r="M32" s="7">
        <f>G32</f>
        <v>0</v>
      </c>
    </row>
    <row r="33" spans="4:13" ht="12.75">
      <c r="D33" s="3"/>
      <c r="E33" s="5"/>
      <c r="F33" s="3"/>
      <c r="G33" s="5">
        <f>SUM(G30:G32)</f>
        <v>75</v>
      </c>
      <c r="H33" s="17"/>
      <c r="I33" s="5"/>
      <c r="L33" s="14">
        <f>SUM(L30:L32)</f>
        <v>33.139</v>
      </c>
      <c r="M33" s="14">
        <f>SUM(M30:M32)</f>
        <v>108.13900000000001</v>
      </c>
    </row>
    <row r="34" spans="4:9" ht="12.75">
      <c r="D34" s="3"/>
      <c r="E34" s="3"/>
      <c r="F34" s="3"/>
      <c r="G34" s="3"/>
      <c r="H34" s="17"/>
      <c r="I34" s="3"/>
    </row>
    <row r="35" spans="1:9" ht="12.75">
      <c r="A35" t="s">
        <v>80</v>
      </c>
      <c r="D35" s="3"/>
      <c r="E35" s="3"/>
      <c r="F35" s="3"/>
      <c r="G35" s="3"/>
      <c r="H35" s="17"/>
      <c r="I35" s="3"/>
    </row>
    <row r="36" spans="2:13" ht="12.75">
      <c r="B36" s="3" t="s">
        <v>78</v>
      </c>
      <c r="D36" s="3">
        <v>2</v>
      </c>
      <c r="E36" s="3">
        <v>35</v>
      </c>
      <c r="F36" s="3">
        <v>20</v>
      </c>
      <c r="G36" s="3">
        <f>D36*F36</f>
        <v>40</v>
      </c>
      <c r="H36" s="17"/>
      <c r="I36" s="3"/>
      <c r="J36" s="7">
        <f>E36*(0.1+0.119+0.1+0.02)</f>
        <v>11.865</v>
      </c>
      <c r="K36" s="24">
        <f>D36*(1+1)</f>
        <v>4</v>
      </c>
      <c r="L36" s="7">
        <f>SUM(J36+K36)</f>
        <v>15.865</v>
      </c>
      <c r="M36" s="7">
        <f>SUM(G36+L36)</f>
        <v>55.865</v>
      </c>
    </row>
    <row r="37" spans="2:13" ht="12.75">
      <c r="B37" s="3" t="s">
        <v>242</v>
      </c>
      <c r="D37" s="3">
        <v>2</v>
      </c>
      <c r="E37" s="3"/>
      <c r="F37" s="3">
        <v>4</v>
      </c>
      <c r="G37" s="3">
        <f>(D37*F37)+1</f>
        <v>9</v>
      </c>
      <c r="H37" s="17"/>
      <c r="I37" s="3"/>
      <c r="J37" s="7">
        <f>5*0.1+6*0.119</f>
        <v>1.214</v>
      </c>
      <c r="L37" s="7">
        <f>SUM(J37+K37)</f>
        <v>1.214</v>
      </c>
      <c r="M37" s="7">
        <f>SUM(G37+L37)</f>
        <v>10.214</v>
      </c>
    </row>
    <row r="38" spans="4:9" ht="12.75">
      <c r="D38" s="3"/>
      <c r="E38" s="3"/>
      <c r="F38" s="3"/>
      <c r="G38" s="3"/>
      <c r="H38" s="17"/>
      <c r="I38" s="3"/>
    </row>
    <row r="39" spans="4:15" ht="12.75">
      <c r="D39" s="5">
        <f>SUM(D30+D36)</f>
        <v>4</v>
      </c>
      <c r="E39" s="3"/>
      <c r="F39" s="3"/>
      <c r="G39" s="5">
        <f>SUM(G36:G38)</f>
        <v>49</v>
      </c>
      <c r="H39" s="17"/>
      <c r="I39" s="5"/>
      <c r="L39" s="14">
        <f>SUM(L36:L38)</f>
        <v>17.079</v>
      </c>
      <c r="M39" s="14">
        <f>SUM(M36:M38)</f>
        <v>66.07900000000001</v>
      </c>
      <c r="N39" s="199">
        <f>M33+M39</f>
        <v>174.21800000000002</v>
      </c>
      <c r="O39" s="199">
        <f>SUM(M33+M39)</f>
        <v>174.21800000000002</v>
      </c>
    </row>
    <row r="40" spans="4:13" ht="12.75">
      <c r="D40" s="3"/>
      <c r="E40" s="3"/>
      <c r="F40" s="3"/>
      <c r="G40" s="5"/>
      <c r="H40" s="17"/>
      <c r="I40" s="5"/>
      <c r="L40" s="14"/>
      <c r="M40" s="14"/>
    </row>
    <row r="41" spans="2:13" ht="12.75">
      <c r="B41" s="3" t="s">
        <v>55</v>
      </c>
      <c r="D41" s="3">
        <f>SUM(D4+D5+D10+D11+D17+D18+D30+D36)</f>
        <v>26</v>
      </c>
      <c r="E41" s="3"/>
      <c r="F41" s="3"/>
      <c r="G41" s="5"/>
      <c r="H41" s="17"/>
      <c r="I41" s="5"/>
      <c r="L41" s="14"/>
      <c r="M41" s="14"/>
    </row>
    <row r="42" spans="4:9" ht="7.5" customHeight="1">
      <c r="D42" s="3"/>
      <c r="E42" s="3"/>
      <c r="F42" s="3"/>
      <c r="G42" s="3"/>
      <c r="H42" s="17"/>
      <c r="I42" s="3"/>
    </row>
    <row r="43" spans="2:9" ht="12.75" customHeight="1">
      <c r="B43" s="3" t="s">
        <v>2</v>
      </c>
      <c r="D43" s="3"/>
      <c r="E43" s="3">
        <f>SUM(E8+E15+E21+E30+E36)</f>
        <v>547</v>
      </c>
      <c r="F43" s="3"/>
      <c r="G43" s="3"/>
      <c r="H43" s="17"/>
      <c r="I43" s="3"/>
    </row>
    <row r="44" spans="4:9" ht="7.5" customHeight="1">
      <c r="D44" s="3"/>
      <c r="E44" s="3"/>
      <c r="F44" s="3"/>
      <c r="G44" s="3"/>
      <c r="H44" s="17"/>
      <c r="I44" s="3"/>
    </row>
    <row r="45" spans="2:10" ht="12.75">
      <c r="B45" s="3" t="s">
        <v>81</v>
      </c>
      <c r="E45" s="3"/>
      <c r="F45" s="3"/>
      <c r="G45" s="5">
        <f>SUM(G33+G39)</f>
        <v>124</v>
      </c>
      <c r="H45" s="6">
        <f>52+(1.1*(E30+E36))</f>
        <v>143.3</v>
      </c>
      <c r="I45" s="5"/>
      <c r="J45" s="6">
        <f>52+(1.1*(E30+E36))</f>
        <v>143.3</v>
      </c>
    </row>
    <row r="46" spans="2:15" ht="12.75">
      <c r="B46" s="3" t="s">
        <v>270</v>
      </c>
      <c r="D46" s="3"/>
      <c r="E46" s="3"/>
      <c r="F46" s="3"/>
      <c r="G46" s="5"/>
      <c r="H46" s="6"/>
      <c r="I46" s="5"/>
      <c r="M46" s="7">
        <f>M33+M39</f>
        <v>174.21800000000002</v>
      </c>
      <c r="O46" s="2"/>
    </row>
    <row r="47" spans="4:9" ht="7.5" customHeight="1">
      <c r="D47" s="3"/>
      <c r="E47" s="3"/>
      <c r="F47" s="3"/>
      <c r="G47" s="5"/>
      <c r="H47" s="6"/>
      <c r="I47" s="5"/>
    </row>
    <row r="48" spans="2:9" ht="12.75">
      <c r="B48" s="3" t="s">
        <v>82</v>
      </c>
      <c r="E48" s="3"/>
      <c r="F48" s="3"/>
      <c r="G48" s="5">
        <f>SUM(G26+G45)</f>
        <v>956</v>
      </c>
      <c r="H48" s="6">
        <f>SUM(H26+H45)</f>
        <v>958.0999999999999</v>
      </c>
      <c r="I48" s="5"/>
    </row>
    <row r="49" spans="4:15" ht="12.75">
      <c r="D49" s="3"/>
      <c r="E49" s="3"/>
      <c r="F49" s="3"/>
      <c r="G49" s="5"/>
      <c r="H49" s="6"/>
      <c r="I49" s="5"/>
      <c r="O49" s="199">
        <f>SUM(O21+O39)</f>
        <v>1277.583</v>
      </c>
    </row>
    <row r="50" spans="4:9" ht="7.5" customHeight="1">
      <c r="D50" s="3"/>
      <c r="E50" s="3"/>
      <c r="F50" s="3"/>
      <c r="G50" s="3"/>
      <c r="H50" s="7"/>
      <c r="I50" s="3"/>
    </row>
    <row r="51" spans="2:15" ht="12.75">
      <c r="B51" s="3" t="s">
        <v>83</v>
      </c>
      <c r="D51" s="3"/>
      <c r="E51" s="3"/>
      <c r="F51" s="3"/>
      <c r="G51" s="3"/>
      <c r="H51" s="7"/>
      <c r="I51" s="3"/>
      <c r="L51" s="14">
        <f>'lær-tímar'!AZ88</f>
        <v>163.54703361629052</v>
      </c>
      <c r="M51" s="5">
        <f>L51</f>
        <v>163.54703361629052</v>
      </c>
      <c r="N51" s="200">
        <f>M51</f>
        <v>163.54703361629052</v>
      </c>
      <c r="O51" s="199">
        <f>L51</f>
        <v>163.54703361629052</v>
      </c>
    </row>
    <row r="52" spans="2:15" ht="12.75">
      <c r="B52" s="3"/>
      <c r="D52" s="3"/>
      <c r="E52" s="3"/>
      <c r="F52" s="3"/>
      <c r="G52" s="3"/>
      <c r="H52" s="7"/>
      <c r="I52" s="3"/>
      <c r="L52" s="14"/>
      <c r="M52" s="5"/>
      <c r="O52" s="199"/>
    </row>
    <row r="53" spans="2:15" ht="12.75">
      <c r="B53" s="3"/>
      <c r="D53" s="3"/>
      <c r="E53" s="3"/>
      <c r="F53" s="3"/>
      <c r="G53" s="3"/>
      <c r="H53" s="7"/>
      <c r="I53" s="3"/>
      <c r="L53" s="14"/>
      <c r="M53" s="5"/>
      <c r="O53" s="199"/>
    </row>
    <row r="54" spans="4:12" ht="7.5" customHeight="1">
      <c r="D54" s="3"/>
      <c r="E54" s="3"/>
      <c r="F54" s="3"/>
      <c r="G54" s="3"/>
      <c r="H54" s="7"/>
      <c r="I54" s="3"/>
      <c r="L54" s="14"/>
    </row>
    <row r="55" spans="2:12" ht="12.75">
      <c r="B55" s="3" t="s">
        <v>84</v>
      </c>
      <c r="D55" s="3"/>
      <c r="E55" s="3"/>
      <c r="F55" s="3"/>
      <c r="G55" s="3"/>
      <c r="H55" s="7"/>
      <c r="I55" s="3"/>
      <c r="L55" s="14">
        <f>SUM(L8+L15+L21+L25+L33+L39+L51)</f>
        <v>500.1300336162906</v>
      </c>
    </row>
    <row r="56" spans="4:9" ht="7.5" customHeight="1">
      <c r="D56" s="3"/>
      <c r="E56" s="3"/>
      <c r="F56" s="3"/>
      <c r="G56" s="3"/>
      <c r="H56" s="7"/>
      <c r="I56" s="3"/>
    </row>
    <row r="57" spans="2:15" ht="12.75">
      <c r="B57" s="3" t="s">
        <v>85</v>
      </c>
      <c r="D57" s="3"/>
      <c r="E57" s="3"/>
      <c r="F57" s="3"/>
      <c r="G57" s="3"/>
      <c r="H57" s="7"/>
      <c r="I57" s="3"/>
      <c r="M57" s="14">
        <f>SUM(M8+M15+M21+M25+M33+M39+M51)</f>
        <v>1456.1300336162903</v>
      </c>
      <c r="N57" s="200">
        <f>SUM(N3:N55)</f>
        <v>1456.1300336162906</v>
      </c>
      <c r="O57" s="199">
        <f>O25+O49+O51</f>
        <v>1456.1300336162906</v>
      </c>
    </row>
    <row r="58" spans="2:15" ht="12.75">
      <c r="B58" s="3"/>
      <c r="D58" s="3"/>
      <c r="E58" s="3"/>
      <c r="F58" s="3"/>
      <c r="G58" s="3"/>
      <c r="H58" s="7"/>
      <c r="I58" s="3"/>
      <c r="M58" s="14"/>
      <c r="O58" s="199"/>
    </row>
    <row r="59" spans="2:13" ht="13.5" thickBot="1">
      <c r="B59" s="3"/>
      <c r="D59" s="3"/>
      <c r="E59" s="3"/>
      <c r="F59" s="3"/>
      <c r="G59" s="3"/>
      <c r="H59" s="7"/>
      <c r="I59" s="3"/>
      <c r="M59" s="14"/>
    </row>
    <row r="60" spans="1:15" ht="13.5" thickTop="1">
      <c r="A60" s="377" t="s">
        <v>316</v>
      </c>
      <c r="B60" s="378"/>
      <c r="C60" s="379"/>
      <c r="D60" s="379"/>
      <c r="E60" s="379"/>
      <c r="F60" s="380"/>
      <c r="G60" s="381" t="s">
        <v>53</v>
      </c>
      <c r="H60" s="382"/>
      <c r="I60" s="383"/>
      <c r="J60" s="384"/>
      <c r="K60" s="385" t="s">
        <v>54</v>
      </c>
      <c r="L60" s="386"/>
      <c r="M60" s="387"/>
      <c r="N60" s="388"/>
      <c r="O60" s="379"/>
    </row>
    <row r="61" spans="4:13" ht="46.5">
      <c r="D61" s="11" t="s">
        <v>55</v>
      </c>
      <c r="E61" s="11" t="s">
        <v>2</v>
      </c>
      <c r="F61" s="11" t="s">
        <v>56</v>
      </c>
      <c r="G61" s="12" t="s">
        <v>57</v>
      </c>
      <c r="H61" s="19" t="s">
        <v>58</v>
      </c>
      <c r="I61" s="11"/>
      <c r="J61" s="13" t="s">
        <v>59</v>
      </c>
      <c r="K61" s="23" t="s">
        <v>60</v>
      </c>
      <c r="L61" s="13" t="s">
        <v>57</v>
      </c>
      <c r="M61" s="13" t="s">
        <v>61</v>
      </c>
    </row>
    <row r="62" spans="1:9" ht="12.75">
      <c r="A62" t="s">
        <v>62</v>
      </c>
      <c r="D62" s="3"/>
      <c r="E62" s="3"/>
      <c r="F62" s="3"/>
      <c r="G62" s="3"/>
      <c r="H62" s="7"/>
      <c r="I62" s="3"/>
    </row>
    <row r="63" spans="2:13" ht="12.75">
      <c r="B63" s="3" t="s">
        <v>63</v>
      </c>
      <c r="D63" s="3">
        <v>4</v>
      </c>
      <c r="E63" s="3">
        <v>96</v>
      </c>
      <c r="F63" s="3">
        <v>30</v>
      </c>
      <c r="G63" s="3">
        <f>D63*F63</f>
        <v>120</v>
      </c>
      <c r="H63" s="17">
        <f>D63*34</f>
        <v>136</v>
      </c>
      <c r="I63" s="3"/>
      <c r="J63" s="7">
        <f>E63*(0.119+0.022+0.119+0.022+0.06+0.075)</f>
        <v>40.032000000000004</v>
      </c>
      <c r="K63" s="24">
        <f>D63*(0.5+0.375)</f>
        <v>3.5</v>
      </c>
      <c r="L63" s="7">
        <f>SUM(J63+K63)</f>
        <v>43.532000000000004</v>
      </c>
      <c r="M63" s="7">
        <f>SUM(G63+L63)</f>
        <v>163.532</v>
      </c>
    </row>
    <row r="64" spans="2:13" ht="12.75">
      <c r="B64" s="3" t="s">
        <v>64</v>
      </c>
      <c r="D64" s="3">
        <v>4</v>
      </c>
      <c r="E64" s="3">
        <v>96</v>
      </c>
      <c r="F64" s="3">
        <v>30</v>
      </c>
      <c r="G64" s="3">
        <f>D64*F64</f>
        <v>120</v>
      </c>
      <c r="H64" s="17">
        <f>D64*34</f>
        <v>136</v>
      </c>
      <c r="I64" s="3"/>
      <c r="J64" s="7">
        <f>E64*(0.1+0.06+0.022*0.8+0.022+0.119+0.022+0.119+0.075*0.2)</f>
        <v>45.5616</v>
      </c>
      <c r="K64" s="24">
        <f>D64*(1+1+0.5+0.375)</f>
        <v>11.5</v>
      </c>
      <c r="L64" s="7">
        <f>SUM(J64+K64)</f>
        <v>57.0616</v>
      </c>
      <c r="M64" s="7">
        <f>SUM(G64+L64)</f>
        <v>177.0616</v>
      </c>
    </row>
    <row r="65" spans="2:13" ht="12.75">
      <c r="B65" s="3" t="s">
        <v>65</v>
      </c>
      <c r="D65" s="5">
        <f>SUM(D63:D64)</f>
        <v>8</v>
      </c>
      <c r="E65" s="3"/>
      <c r="F65" s="3"/>
      <c r="G65" s="3">
        <f>D65</f>
        <v>8</v>
      </c>
      <c r="H65" s="17">
        <f>G65</f>
        <v>8</v>
      </c>
      <c r="I65" s="3"/>
      <c r="M65" s="7">
        <f>G65</f>
        <v>8</v>
      </c>
    </row>
    <row r="66" spans="2:13" ht="12.75">
      <c r="B66" s="3" t="s">
        <v>66</v>
      </c>
      <c r="D66" s="3">
        <v>10</v>
      </c>
      <c r="E66" s="3"/>
      <c r="F66" s="3">
        <v>4</v>
      </c>
      <c r="G66" s="7">
        <f>F66*D66</f>
        <v>40</v>
      </c>
      <c r="H66" s="17"/>
      <c r="I66" s="3"/>
      <c r="M66" s="7">
        <f>G66</f>
        <v>40</v>
      </c>
    </row>
    <row r="67" spans="4:14" ht="12.75">
      <c r="D67" s="3"/>
      <c r="E67" s="5">
        <f>SUM(E63:E64)</f>
        <v>192</v>
      </c>
      <c r="F67" s="3"/>
      <c r="G67" s="14">
        <f>SUM(G63+G64+G65+G66)</f>
        <v>288</v>
      </c>
      <c r="H67" s="17"/>
      <c r="I67" s="5"/>
      <c r="L67" s="14">
        <f>SUM(L63:L66)</f>
        <v>100.59360000000001</v>
      </c>
      <c r="M67" s="14">
        <f>SUM(M63:M66)</f>
        <v>388.59360000000004</v>
      </c>
      <c r="N67" s="199">
        <f>M67</f>
        <v>388.59360000000004</v>
      </c>
    </row>
    <row r="68" spans="1:9" ht="12.75">
      <c r="A68" t="s">
        <v>67</v>
      </c>
      <c r="D68" s="3"/>
      <c r="E68" s="5"/>
      <c r="F68" s="3"/>
      <c r="G68" s="3"/>
      <c r="H68" s="17"/>
      <c r="I68" s="3"/>
    </row>
    <row r="69" spans="2:13" ht="12.75">
      <c r="B69" s="3" t="s">
        <v>68</v>
      </c>
      <c r="D69" s="3">
        <v>4</v>
      </c>
      <c r="E69" s="3">
        <v>80</v>
      </c>
      <c r="F69" s="3">
        <v>26</v>
      </c>
      <c r="G69" s="3">
        <f>D69*F69</f>
        <v>104</v>
      </c>
      <c r="H69" s="17">
        <f>D69*30</f>
        <v>120</v>
      </c>
      <c r="I69" s="3"/>
      <c r="J69" s="7">
        <f>E69*(0.067+0.094+0.119+0.033+0.119+0.02+0.033+0.1)</f>
        <v>46.800000000000004</v>
      </c>
      <c r="K69" s="24">
        <f>D69*(0.5+0.375)</f>
        <v>3.5</v>
      </c>
      <c r="L69" s="7">
        <f>SUM(J69+K69)</f>
        <v>50.300000000000004</v>
      </c>
      <c r="M69" s="7">
        <f>SUM(G69+L69)</f>
        <v>154.3</v>
      </c>
    </row>
    <row r="70" spans="2:13" ht="12.75">
      <c r="B70" s="3" t="s">
        <v>69</v>
      </c>
      <c r="D70" s="3">
        <v>4</v>
      </c>
      <c r="E70" s="3">
        <v>85</v>
      </c>
      <c r="F70" s="3">
        <v>26</v>
      </c>
      <c r="G70" s="3">
        <f>D70*F70</f>
        <v>104</v>
      </c>
      <c r="H70" s="17">
        <f>D70*30</f>
        <v>120</v>
      </c>
      <c r="I70" s="3"/>
      <c r="J70" s="7">
        <f>E70*(0.1+0.094+0.06+0.033*0.8+0.119+0.02+0.119+0.033+0.1*0.2)</f>
        <v>50.269000000000005</v>
      </c>
      <c r="K70" s="24">
        <f>D70*(0.62+0.375)</f>
        <v>3.98</v>
      </c>
      <c r="L70" s="7">
        <f>SUM(J70+K70)</f>
        <v>54.249</v>
      </c>
      <c r="M70" s="7">
        <f>SUM(G70+L70)</f>
        <v>158.249</v>
      </c>
    </row>
    <row r="71" spans="2:13" ht="12.75">
      <c r="B71" s="3" t="s">
        <v>65</v>
      </c>
      <c r="D71" s="5">
        <f>SUM(D69:D70)</f>
        <v>8</v>
      </c>
      <c r="E71" s="3"/>
      <c r="F71" s="3"/>
      <c r="G71" s="3">
        <f>D71</f>
        <v>8</v>
      </c>
      <c r="H71" s="17">
        <f>G71</f>
        <v>8</v>
      </c>
      <c r="I71" s="3"/>
      <c r="M71" s="7">
        <f>G71</f>
        <v>8</v>
      </c>
    </row>
    <row r="72" spans="2:16" ht="12.75">
      <c r="B72" s="3" t="s">
        <v>70</v>
      </c>
      <c r="D72" s="3">
        <v>10</v>
      </c>
      <c r="E72" s="3"/>
      <c r="F72" s="3">
        <v>4</v>
      </c>
      <c r="G72" s="3">
        <f>F72*D72</f>
        <v>40</v>
      </c>
      <c r="H72" s="17"/>
      <c r="I72" s="3"/>
      <c r="M72" s="7">
        <f>G72</f>
        <v>40</v>
      </c>
      <c r="N72" s="199">
        <f>SUM(M69:M72)</f>
        <v>360.549</v>
      </c>
      <c r="P72" s="2"/>
    </row>
    <row r="73" spans="2:14" ht="12.75">
      <c r="B73" s="3" t="s">
        <v>30</v>
      </c>
      <c r="D73" s="3">
        <v>7</v>
      </c>
      <c r="E73" s="3"/>
      <c r="F73" s="3">
        <v>5</v>
      </c>
      <c r="G73" s="3">
        <f>(D73*F73)</f>
        <v>35</v>
      </c>
      <c r="H73" s="17"/>
      <c r="I73" s="3"/>
      <c r="J73" s="7">
        <f>120*0.1</f>
        <v>12</v>
      </c>
      <c r="K73" s="24">
        <f>(1+1+1)</f>
        <v>3</v>
      </c>
      <c r="L73" s="7">
        <f>SUM(J73+K73)</f>
        <v>15</v>
      </c>
      <c r="M73" s="7">
        <f>SUM(G73+L73)</f>
        <v>50</v>
      </c>
      <c r="N73" s="199">
        <f>M73</f>
        <v>50</v>
      </c>
    </row>
    <row r="74" spans="4:13" ht="12.75">
      <c r="D74" s="3"/>
      <c r="E74" s="5">
        <f>SUM(E69:E70)</f>
        <v>165</v>
      </c>
      <c r="F74" s="3"/>
      <c r="G74" s="5">
        <f>SUM(G69:G72)</f>
        <v>256</v>
      </c>
      <c r="H74" s="17"/>
      <c r="I74" s="5"/>
      <c r="L74" s="14">
        <f>SUM(L69:L73)</f>
        <v>119.549</v>
      </c>
      <c r="M74" s="14">
        <f>SUM(M69:M73)</f>
        <v>410.549</v>
      </c>
    </row>
    <row r="75" spans="1:9" ht="12.75">
      <c r="A75" t="s">
        <v>71</v>
      </c>
      <c r="D75" s="3"/>
      <c r="E75" s="3"/>
      <c r="F75" s="3"/>
      <c r="G75" s="3"/>
      <c r="H75" s="17"/>
      <c r="I75" s="3"/>
    </row>
    <row r="76" spans="2:13" ht="12.75">
      <c r="B76" s="3" t="s">
        <v>72</v>
      </c>
      <c r="D76" s="3">
        <v>3</v>
      </c>
      <c r="E76" s="3">
        <v>70</v>
      </c>
      <c r="F76" s="3">
        <v>15</v>
      </c>
      <c r="G76" s="3">
        <f>D76*F76</f>
        <v>45</v>
      </c>
      <c r="H76" s="17">
        <f>D76*F76</f>
        <v>45</v>
      </c>
      <c r="I76" s="3"/>
      <c r="J76" s="7">
        <f>E76*(0.094+0.119)</f>
        <v>14.91</v>
      </c>
      <c r="K76" s="24">
        <f>D76*(0.375)</f>
        <v>1.125</v>
      </c>
      <c r="L76" s="7">
        <f>SUM(J76+K76)</f>
        <v>16.035</v>
      </c>
      <c r="M76" s="7">
        <f>SUM(G76+L76)</f>
        <v>61.035</v>
      </c>
    </row>
    <row r="77" spans="2:14" ht="12.75">
      <c r="B77" s="3" t="s">
        <v>73</v>
      </c>
      <c r="D77" s="3">
        <v>4</v>
      </c>
      <c r="E77" s="3">
        <v>75</v>
      </c>
      <c r="F77" s="3">
        <v>15</v>
      </c>
      <c r="G77" s="3">
        <f>D77*F77</f>
        <v>60</v>
      </c>
      <c r="H77" s="17">
        <f>D77*F77</f>
        <v>60</v>
      </c>
      <c r="I77" s="3"/>
      <c r="J77" s="7">
        <f>E77*(0.094+0.119)</f>
        <v>15.975</v>
      </c>
      <c r="K77" s="24">
        <f>D77*(0.375)</f>
        <v>1.5</v>
      </c>
      <c r="L77" s="7">
        <f>SUM(J77+K77)</f>
        <v>17.475</v>
      </c>
      <c r="M77" s="7">
        <f>SUM(G77+L77)</f>
        <v>77.475</v>
      </c>
      <c r="N77" s="199">
        <f>SUM(M76:M77)</f>
        <v>138.51</v>
      </c>
    </row>
    <row r="78" spans="2:13" ht="12.75">
      <c r="B78" s="3" t="s">
        <v>30</v>
      </c>
      <c r="D78" s="3">
        <v>18</v>
      </c>
      <c r="E78" s="3"/>
      <c r="F78" s="3">
        <v>5</v>
      </c>
      <c r="G78" s="3">
        <f>(D78*F78)+1</f>
        <v>91</v>
      </c>
      <c r="H78" s="17"/>
      <c r="I78" s="3"/>
      <c r="J78" s="7">
        <f>170*0.134+21*0.119</f>
        <v>25.279</v>
      </c>
      <c r="K78" s="24">
        <f>(1+1+1+1+1)</f>
        <v>5</v>
      </c>
      <c r="L78" s="7">
        <f>SUM(J78+K78)</f>
        <v>30.279</v>
      </c>
      <c r="M78" s="7">
        <f>SUM(G78+L78)</f>
        <v>121.279</v>
      </c>
    </row>
    <row r="79" spans="2:13" ht="12.75">
      <c r="B79" s="3" t="s">
        <v>33</v>
      </c>
      <c r="D79" s="3">
        <v>18</v>
      </c>
      <c r="E79" s="3"/>
      <c r="F79" s="3">
        <v>4</v>
      </c>
      <c r="G79" s="3">
        <f>D79*F79</f>
        <v>72</v>
      </c>
      <c r="H79" s="17"/>
      <c r="I79" s="3"/>
      <c r="J79" s="7">
        <f>11*0.06+2*0.5+0.5+8*0.067+0.5+0.5</f>
        <v>3.696</v>
      </c>
      <c r="K79" s="24">
        <f>0.5+2*0.5+0.5+1</f>
        <v>3</v>
      </c>
      <c r="L79" s="7">
        <f>SUM(J79+K79)</f>
        <v>6.696</v>
      </c>
      <c r="M79" s="7">
        <f>SUM(G79+L79)</f>
        <v>78.696</v>
      </c>
    </row>
    <row r="80" spans="2:14" ht="12.75">
      <c r="B80" s="3"/>
      <c r="D80" s="5">
        <f>SUM(D76:D77)</f>
        <v>7</v>
      </c>
      <c r="E80" s="5">
        <f>SUM(E76:E77)</f>
        <v>145</v>
      </c>
      <c r="F80" s="3"/>
      <c r="G80" s="5">
        <f>SUM(G76+G77+G78+G79)</f>
        <v>268</v>
      </c>
      <c r="H80" s="17"/>
      <c r="I80" s="5"/>
      <c r="L80" s="14">
        <f>SUM(L76:L79)</f>
        <v>70.485</v>
      </c>
      <c r="M80" s="14">
        <f>SUM(M76:M79)</f>
        <v>338.485</v>
      </c>
      <c r="N80" s="199">
        <f>SUM(M78:M79)</f>
        <v>199.975</v>
      </c>
    </row>
    <row r="81" spans="2:9" ht="12.75">
      <c r="B81" s="3"/>
      <c r="D81" s="3"/>
      <c r="E81" s="3"/>
      <c r="F81" s="3"/>
      <c r="G81" s="3"/>
      <c r="I81" s="3"/>
    </row>
    <row r="82" spans="2:13" ht="12.75">
      <c r="B82" s="3" t="s">
        <v>74</v>
      </c>
      <c r="D82" s="5">
        <f>SUM(D73+D78+D79)</f>
        <v>43</v>
      </c>
      <c r="E82" s="5">
        <f>E80+E74+E67</f>
        <v>502</v>
      </c>
      <c r="H82" s="17">
        <f>SUM(E67+E74+E80)*0.2</f>
        <v>100.4</v>
      </c>
      <c r="J82" s="2"/>
      <c r="K82" s="25"/>
      <c r="L82" s="2"/>
      <c r="M82"/>
    </row>
    <row r="83" spans="2:9" ht="12.75">
      <c r="B83" s="3"/>
      <c r="D83" s="3"/>
      <c r="E83" s="3"/>
      <c r="F83" s="3"/>
      <c r="G83" s="3"/>
      <c r="H83" s="17">
        <v>99</v>
      </c>
      <c r="I83" s="3"/>
    </row>
    <row r="84" spans="2:14" ht="12.75">
      <c r="B84" s="3" t="s">
        <v>86</v>
      </c>
      <c r="D84" s="3"/>
      <c r="E84" s="3"/>
      <c r="F84" s="3"/>
      <c r="G84" s="3"/>
      <c r="H84" s="17"/>
      <c r="I84" s="3"/>
      <c r="L84" s="7">
        <v>15</v>
      </c>
      <c r="M84" s="7">
        <f>L84</f>
        <v>15</v>
      </c>
      <c r="N84" s="199">
        <f>M84</f>
        <v>15</v>
      </c>
    </row>
    <row r="85" spans="2:15" ht="12.75">
      <c r="B85" s="3" t="s">
        <v>76</v>
      </c>
      <c r="E85" s="3"/>
      <c r="F85" s="3"/>
      <c r="G85" s="3">
        <f>SUM(G63+G64+G65+G66)+SUM(G69+G70+G71+G72+G73)+SUM(G76+G77+G78+G79)</f>
        <v>847</v>
      </c>
      <c r="H85" s="17">
        <f>SUM(H63+H64+H65+H66+H69+H70+H71+H72+H76+H77+H82+H83)</f>
        <v>832.4</v>
      </c>
      <c r="I85" s="3"/>
      <c r="O85" s="2"/>
    </row>
    <row r="86" ht="12.75">
      <c r="I86" s="3"/>
    </row>
    <row r="87" spans="4:9" ht="12.75">
      <c r="D87" s="3"/>
      <c r="E87" s="3"/>
      <c r="F87" s="3"/>
      <c r="G87" s="3"/>
      <c r="H87" s="17"/>
      <c r="I87" s="3"/>
    </row>
    <row r="88" spans="1:9" ht="12.75">
      <c r="A88" t="s">
        <v>77</v>
      </c>
      <c r="D88" s="3"/>
      <c r="E88" s="3"/>
      <c r="F88" s="3"/>
      <c r="G88" s="3"/>
      <c r="H88" s="17"/>
      <c r="I88" s="3"/>
    </row>
    <row r="89" spans="2:13" ht="12.75">
      <c r="B89" s="3" t="s">
        <v>78</v>
      </c>
      <c r="D89" s="3">
        <v>2</v>
      </c>
      <c r="E89" s="3">
        <v>48</v>
      </c>
      <c r="F89" s="3">
        <v>19</v>
      </c>
      <c r="G89" s="3">
        <f>D89*F89</f>
        <v>38</v>
      </c>
      <c r="H89" s="17"/>
      <c r="I89" s="3"/>
      <c r="J89" s="7">
        <f>E89*(0.1+0.119+0.1+0.033+0.123+0.033)</f>
        <v>24.384</v>
      </c>
      <c r="K89" s="24">
        <f>D89*(1+1)</f>
        <v>4</v>
      </c>
      <c r="L89" s="7">
        <f>SUM(J89+K89)</f>
        <v>28.384</v>
      </c>
      <c r="M89" s="7">
        <f>SUM(G89+L89)</f>
        <v>66.384</v>
      </c>
    </row>
    <row r="90" spans="2:13" ht="12.75">
      <c r="B90" s="3" t="s">
        <v>242</v>
      </c>
      <c r="D90" s="3">
        <v>11</v>
      </c>
      <c r="E90" s="3"/>
      <c r="F90" s="4" t="s">
        <v>79</v>
      </c>
      <c r="G90" s="3">
        <f>(4*4)+(7*3)</f>
        <v>37</v>
      </c>
      <c r="H90" s="17"/>
      <c r="I90" s="3"/>
      <c r="J90" s="7">
        <f>15*(0.067+0.028+0.033+0.028+0.061)</f>
        <v>3.255</v>
      </c>
      <c r="K90" s="24">
        <f>0.5+0.5+0.5</f>
        <v>1.5</v>
      </c>
      <c r="L90" s="7">
        <f>SUM(J90+K90)</f>
        <v>4.755</v>
      </c>
      <c r="M90" s="7">
        <f>SUM(G90+L90)</f>
        <v>41.755</v>
      </c>
    </row>
    <row r="91" spans="2:13" ht="12.75">
      <c r="B91" s="3" t="s">
        <v>65</v>
      </c>
      <c r="D91" s="3"/>
      <c r="E91" s="3"/>
      <c r="F91" s="3"/>
      <c r="G91" s="3"/>
      <c r="H91" s="17"/>
      <c r="I91" s="3"/>
      <c r="M91" s="7">
        <f>G91</f>
        <v>0</v>
      </c>
    </row>
    <row r="92" spans="4:13" ht="12.75">
      <c r="D92" s="3"/>
      <c r="E92" s="5"/>
      <c r="F92" s="3"/>
      <c r="G92" s="200">
        <f>SUM(G89:G91)</f>
        <v>75</v>
      </c>
      <c r="H92" s="17"/>
      <c r="I92" s="5"/>
      <c r="L92" s="14">
        <f>SUM(L89:L91)</f>
        <v>33.139</v>
      </c>
      <c r="M92" s="14">
        <f>SUM(M89:M91)</f>
        <v>108.13900000000001</v>
      </c>
    </row>
    <row r="93" spans="4:9" ht="12.75">
      <c r="D93" s="3"/>
      <c r="E93" s="3"/>
      <c r="F93" s="3"/>
      <c r="G93" s="3"/>
      <c r="H93" s="17"/>
      <c r="I93" s="3"/>
    </row>
    <row r="94" spans="1:9" ht="12.75">
      <c r="A94" t="s">
        <v>80</v>
      </c>
      <c r="D94" s="3"/>
      <c r="E94" s="3"/>
      <c r="F94" s="3"/>
      <c r="G94" s="3"/>
      <c r="H94" s="17"/>
      <c r="I94" s="3"/>
    </row>
    <row r="95" spans="2:13" ht="12.75">
      <c r="B95" s="3" t="s">
        <v>78</v>
      </c>
      <c r="D95" s="3">
        <v>2</v>
      </c>
      <c r="E95" s="3">
        <v>40</v>
      </c>
      <c r="F95" s="3">
        <v>20</v>
      </c>
      <c r="G95" s="3">
        <f>D95*F95</f>
        <v>40</v>
      </c>
      <c r="H95" s="17"/>
      <c r="I95" s="3"/>
      <c r="J95" s="7">
        <f>E95*(0.1+0.119+0.1+0.02)</f>
        <v>13.56</v>
      </c>
      <c r="K95" s="24">
        <f>D95*(1+1)</f>
        <v>4</v>
      </c>
      <c r="L95" s="7">
        <f>SUM(J95+K95)</f>
        <v>17.560000000000002</v>
      </c>
      <c r="M95" s="7">
        <f>SUM(G95+L95)</f>
        <v>57.56</v>
      </c>
    </row>
    <row r="96" spans="2:13" ht="12.75">
      <c r="B96" s="3" t="s">
        <v>242</v>
      </c>
      <c r="D96" s="3">
        <v>3</v>
      </c>
      <c r="E96" s="3"/>
      <c r="F96" s="3">
        <v>4</v>
      </c>
      <c r="G96" s="7">
        <f>(D96*F96)+1</f>
        <v>13</v>
      </c>
      <c r="H96" s="17"/>
      <c r="I96" s="3"/>
      <c r="J96" s="7">
        <f>15*(0.1+0.028+0.119)</f>
        <v>3.705</v>
      </c>
      <c r="L96" s="7">
        <f>SUM(J96+K96)</f>
        <v>3.705</v>
      </c>
      <c r="M96" s="7">
        <f>SUM(G96+L96)</f>
        <v>16.705</v>
      </c>
    </row>
    <row r="97" spans="4:9" ht="12.75">
      <c r="D97" s="3"/>
      <c r="E97" s="3"/>
      <c r="F97" s="3"/>
      <c r="G97" s="3"/>
      <c r="H97" s="17"/>
      <c r="I97" s="3"/>
    </row>
    <row r="98" spans="4:14" ht="12.75">
      <c r="D98" s="5">
        <f>SUM(D89+D95)</f>
        <v>4</v>
      </c>
      <c r="E98" s="3"/>
      <c r="F98" s="3"/>
      <c r="G98" s="5">
        <f>SUM(G95:G97)</f>
        <v>53</v>
      </c>
      <c r="H98" s="17"/>
      <c r="I98" s="5"/>
      <c r="L98" s="14">
        <f>SUM(L95:L97)</f>
        <v>21.265</v>
      </c>
      <c r="M98" s="14">
        <f>SUM(M95:M96)</f>
        <v>74.265</v>
      </c>
      <c r="N98" s="199">
        <f>SUM(M92+M98)</f>
        <v>182.404</v>
      </c>
    </row>
    <row r="99" spans="4:13" ht="6" customHeight="1">
      <c r="D99" s="3"/>
      <c r="E99" s="3"/>
      <c r="F99" s="3"/>
      <c r="G99" s="5"/>
      <c r="H99" s="17"/>
      <c r="I99" s="5"/>
      <c r="L99" s="14"/>
      <c r="M99" s="14"/>
    </row>
    <row r="100" spans="2:13" ht="12.75">
      <c r="B100" s="3" t="s">
        <v>55</v>
      </c>
      <c r="D100" s="3">
        <f>SUM(D63+D64+D69+D70+D76+D77+D89+D95)</f>
        <v>27</v>
      </c>
      <c r="E100" s="3"/>
      <c r="F100" s="3"/>
      <c r="G100" s="5"/>
      <c r="H100" s="17"/>
      <c r="I100" s="5"/>
      <c r="L100" s="14"/>
      <c r="M100" s="14"/>
    </row>
    <row r="101" spans="4:9" ht="6" customHeight="1">
      <c r="D101" s="3"/>
      <c r="E101" s="3"/>
      <c r="F101" s="3"/>
      <c r="G101" s="3"/>
      <c r="H101" s="17"/>
      <c r="I101" s="3"/>
    </row>
    <row r="102" spans="2:9" ht="12.75">
      <c r="B102" s="3" t="s">
        <v>2</v>
      </c>
      <c r="D102" s="3"/>
      <c r="E102" s="3">
        <f>SUM(E67+E74+E80+E89+E95)</f>
        <v>590</v>
      </c>
      <c r="F102" s="3"/>
      <c r="G102" s="3"/>
      <c r="H102" s="17"/>
      <c r="I102" s="3"/>
    </row>
    <row r="103" spans="4:9" ht="6" customHeight="1">
      <c r="D103" s="3"/>
      <c r="E103" s="3"/>
      <c r="F103" s="3"/>
      <c r="G103" s="3"/>
      <c r="H103" s="17"/>
      <c r="I103" s="3"/>
    </row>
    <row r="104" spans="2:9" ht="12.75">
      <c r="B104" s="3" t="s">
        <v>81</v>
      </c>
      <c r="E104" s="3"/>
      <c r="F104" s="3"/>
      <c r="G104" s="3">
        <f>SUM(G92+G98)</f>
        <v>128</v>
      </c>
      <c r="H104" s="6">
        <f>52+(1.1*(E89+E95))</f>
        <v>148.8</v>
      </c>
      <c r="I104" s="5"/>
    </row>
    <row r="105" spans="4:9" ht="12.75">
      <c r="D105" s="3"/>
      <c r="E105" s="3"/>
      <c r="F105" s="3"/>
      <c r="G105" s="5"/>
      <c r="H105" s="6"/>
      <c r="I105" s="5"/>
    </row>
    <row r="106" spans="4:9" ht="6" customHeight="1">
      <c r="D106" s="3"/>
      <c r="E106" s="3"/>
      <c r="F106" s="3"/>
      <c r="G106" s="5"/>
      <c r="H106" s="6"/>
      <c r="I106" s="5"/>
    </row>
    <row r="107" spans="2:9" ht="12.75">
      <c r="B107" s="3" t="s">
        <v>82</v>
      </c>
      <c r="E107" s="3"/>
      <c r="F107" s="3"/>
      <c r="G107" s="3">
        <f>SUM(G85+G104)</f>
        <v>975</v>
      </c>
      <c r="H107" s="6">
        <f>SUM(H85+H104)</f>
        <v>981.2</v>
      </c>
      <c r="I107" s="5"/>
    </row>
    <row r="108" spans="4:9" ht="12.75">
      <c r="D108" s="3"/>
      <c r="E108" s="3"/>
      <c r="F108" s="3"/>
      <c r="G108" s="5"/>
      <c r="H108" s="6"/>
      <c r="I108" s="5"/>
    </row>
    <row r="109" spans="4:9" ht="6" customHeight="1">
      <c r="D109" s="3"/>
      <c r="E109" s="3"/>
      <c r="F109" s="3"/>
      <c r="G109" s="3"/>
      <c r="H109" s="7"/>
      <c r="I109" s="3"/>
    </row>
    <row r="110" spans="2:14" ht="12.75">
      <c r="B110" s="3" t="s">
        <v>317</v>
      </c>
      <c r="D110" s="3"/>
      <c r="E110" s="3"/>
      <c r="F110" s="3"/>
      <c r="G110" s="3"/>
      <c r="H110" s="7"/>
      <c r="I110" s="3"/>
      <c r="L110" s="14">
        <f>2+2+12+(0.12*(71)+0.042*(E102))*0.474+15+11.5+(D100*0.5)+(D98*2.1+D80*1.3+D71*1+D65*2)+9.25+((D65+D71+D80)-6)*1.25+6.75+(D98-4)*1+(90*0.03)+3</f>
        <v>156.2342</v>
      </c>
      <c r="M110" s="5">
        <f>L110</f>
        <v>156.2342</v>
      </c>
      <c r="N110" s="200">
        <f>M110</f>
        <v>156.2342</v>
      </c>
    </row>
    <row r="111" spans="4:12" ht="6" customHeight="1">
      <c r="D111" s="3"/>
      <c r="E111" s="3"/>
      <c r="F111" s="3"/>
      <c r="G111" s="3"/>
      <c r="H111" s="7"/>
      <c r="I111" s="3"/>
      <c r="L111" s="14"/>
    </row>
    <row r="112" spans="2:12" ht="12.75">
      <c r="B112" s="3" t="s">
        <v>84</v>
      </c>
      <c r="D112" s="3"/>
      <c r="E112" s="3"/>
      <c r="F112" s="3"/>
      <c r="G112" s="3"/>
      <c r="H112" s="7"/>
      <c r="I112" s="3"/>
      <c r="L112" s="14">
        <f>SUM(L67+L74+L80+L84+L92+L98+L110)</f>
        <v>516.2658</v>
      </c>
    </row>
    <row r="113" spans="4:9" ht="6" customHeight="1">
      <c r="D113" s="3"/>
      <c r="E113" s="3"/>
      <c r="F113" s="3"/>
      <c r="G113" s="3"/>
      <c r="H113" s="7"/>
      <c r="I113" s="3"/>
    </row>
    <row r="114" spans="2:14" ht="12.75">
      <c r="B114" s="3" t="s">
        <v>85</v>
      </c>
      <c r="D114" s="3"/>
      <c r="E114" s="3"/>
      <c r="F114" s="3"/>
      <c r="G114" s="3"/>
      <c r="H114" s="7"/>
      <c r="I114" s="3"/>
      <c r="M114" s="14">
        <f>SUM(M67+M74+M80+M84+M92+M98+M110)</f>
        <v>1491.2658000000001</v>
      </c>
      <c r="N114" s="199">
        <f>SUM(N67+N72+N73+N77+N80+N84+N98+N110)</f>
        <v>1491.2658000000001</v>
      </c>
    </row>
  </sheetData>
  <printOptions gridLines="1" horizontalCentered="1" verticalCentered="1"/>
  <pageMargins left="0.7874015748031497" right="0.7874015748031497" top="0.61" bottom="0.88" header="0.33" footer="0.5118110236220472"/>
  <pageSetup horizontalDpi="300" verticalDpi="300" orientation="portrait" paperSize="9" r:id="rId1"/>
  <headerFooter alignWithMargins="0">
    <oddHeader>&amp;CSIM-2006&amp;R&amp;8&amp;D</oddHeader>
    <oddFooter xml:space="preserve">&amp;CSíða 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.8515625" style="205" customWidth="1"/>
    <col min="2" max="2" width="9.140625" style="205" customWidth="1"/>
    <col min="3" max="3" width="36.7109375" style="205" customWidth="1"/>
    <col min="4" max="4" width="11.8515625" style="205" customWidth="1"/>
    <col min="5" max="5" width="7.421875" style="205" customWidth="1"/>
    <col min="6" max="6" width="10.7109375" style="205" customWidth="1"/>
    <col min="7" max="7" width="11.28125" style="205" customWidth="1"/>
    <col min="8" max="8" width="9.421875" style="205" bestFit="1" customWidth="1"/>
    <col min="9" max="15" width="9.140625" style="205" customWidth="1"/>
    <col min="16" max="16" width="11.8515625" style="205" customWidth="1"/>
    <col min="17" max="17" width="9.140625" style="205" customWidth="1"/>
    <col min="18" max="18" width="10.421875" style="205" customWidth="1"/>
    <col min="19" max="16384" width="9.140625" style="205" customWidth="1"/>
  </cols>
  <sheetData>
    <row r="1" spans="1:15" ht="12">
      <c r="A1" s="204"/>
      <c r="C1" s="206"/>
      <c r="D1" s="206"/>
      <c r="E1" s="206"/>
      <c r="F1" s="206"/>
      <c r="G1" s="206"/>
      <c r="O1" s="204"/>
    </row>
    <row r="2" spans="1:21" ht="12">
      <c r="A2" s="209"/>
      <c r="B2" s="209"/>
      <c r="C2" s="210"/>
      <c r="D2" s="211"/>
      <c r="E2" s="212"/>
      <c r="F2" s="213"/>
      <c r="G2" s="214"/>
      <c r="H2" s="215"/>
      <c r="I2" s="215"/>
      <c r="J2" s="215"/>
      <c r="K2" s="215"/>
      <c r="L2" s="215"/>
      <c r="M2" s="215"/>
      <c r="O2" s="216"/>
      <c r="P2" s="217"/>
      <c r="Q2" s="217"/>
      <c r="R2" s="217"/>
      <c r="S2" s="218"/>
      <c r="T2" s="219"/>
      <c r="U2" s="219"/>
    </row>
    <row r="3" spans="1:21" ht="12">
      <c r="A3" s="220"/>
      <c r="B3" s="220"/>
      <c r="C3" s="221"/>
      <c r="D3" s="222"/>
      <c r="E3" s="222"/>
      <c r="F3" s="223"/>
      <c r="G3" s="222"/>
      <c r="H3" s="224"/>
      <c r="I3" s="224"/>
      <c r="J3" s="224"/>
      <c r="K3" s="224"/>
      <c r="L3" s="224"/>
      <c r="M3" s="224"/>
      <c r="O3" s="225"/>
      <c r="P3" s="226"/>
      <c r="Q3" s="227"/>
      <c r="R3" s="227"/>
      <c r="S3" s="228"/>
      <c r="T3" s="219"/>
      <c r="U3" s="219"/>
    </row>
    <row r="4" spans="1:21" ht="12">
      <c r="A4" s="229"/>
      <c r="B4" s="229"/>
      <c r="C4" s="230"/>
      <c r="D4" s="231"/>
      <c r="E4" s="232"/>
      <c r="F4" s="233"/>
      <c r="G4" s="234"/>
      <c r="H4" s="235"/>
      <c r="I4" s="235"/>
      <c r="J4" s="235"/>
      <c r="K4" s="235"/>
      <c r="L4" s="235"/>
      <c r="M4" s="235"/>
      <c r="O4" s="236"/>
      <c r="P4" s="236"/>
      <c r="Q4" s="237"/>
      <c r="R4" s="237"/>
      <c r="S4" s="237"/>
      <c r="T4" s="219"/>
      <c r="U4" s="219"/>
    </row>
    <row r="5" spans="1:21" ht="12">
      <c r="A5" s="238"/>
      <c r="B5" s="229"/>
      <c r="C5" s="239"/>
      <c r="D5" s="240"/>
      <c r="E5" s="241"/>
      <c r="F5" s="242"/>
      <c r="G5" s="243"/>
      <c r="H5" s="244"/>
      <c r="I5" s="244"/>
      <c r="J5" s="244"/>
      <c r="K5" s="244"/>
      <c r="L5" s="244"/>
      <c r="M5" s="244"/>
      <c r="O5" s="245"/>
      <c r="P5" s="246"/>
      <c r="Q5" s="247"/>
      <c r="R5" s="247"/>
      <c r="S5" s="248"/>
      <c r="T5" s="219"/>
      <c r="U5" s="219"/>
    </row>
    <row r="6" spans="1:21" ht="12">
      <c r="A6" s="220"/>
      <c r="B6" s="390"/>
      <c r="C6" s="221"/>
      <c r="D6" s="249"/>
      <c r="E6" s="250"/>
      <c r="F6" s="342"/>
      <c r="G6" s="304"/>
      <c r="H6" s="260"/>
      <c r="I6" s="258"/>
      <c r="J6" s="258"/>
      <c r="K6" s="258"/>
      <c r="L6" s="258"/>
      <c r="M6" s="253"/>
      <c r="O6" s="254"/>
      <c r="P6" s="255"/>
      <c r="Q6" s="256"/>
      <c r="R6" s="256"/>
      <c r="S6" s="257"/>
      <c r="T6" s="219"/>
      <c r="U6" s="219"/>
    </row>
    <row r="7" spans="1:21" ht="12">
      <c r="A7" s="220"/>
      <c r="B7" s="390"/>
      <c r="C7" s="221"/>
      <c r="D7" s="249"/>
      <c r="E7" s="250"/>
      <c r="F7" s="264"/>
      <c r="G7" s="259"/>
      <c r="H7" s="260"/>
      <c r="I7" s="258"/>
      <c r="J7" s="258"/>
      <c r="K7" s="258"/>
      <c r="L7" s="258"/>
      <c r="M7" s="253"/>
      <c r="O7" s="254"/>
      <c r="P7" s="255"/>
      <c r="Q7" s="256"/>
      <c r="R7" s="256"/>
      <c r="S7" s="257"/>
      <c r="T7" s="219"/>
      <c r="U7" s="219"/>
    </row>
    <row r="8" spans="1:21" ht="12">
      <c r="A8" s="220"/>
      <c r="B8" s="394"/>
      <c r="C8" s="221"/>
      <c r="D8" s="249"/>
      <c r="E8" s="250"/>
      <c r="F8" s="303"/>
      <c r="G8" s="259"/>
      <c r="H8" s="260"/>
      <c r="I8" s="258"/>
      <c r="J8" s="258"/>
      <c r="K8" s="258"/>
      <c r="L8" s="258"/>
      <c r="M8" s="253"/>
      <c r="O8" s="254"/>
      <c r="P8" s="255"/>
      <c r="Q8" s="256"/>
      <c r="R8" s="256"/>
      <c r="S8" s="257"/>
      <c r="T8" s="219"/>
      <c r="U8" s="219"/>
    </row>
    <row r="9" spans="1:21" ht="12">
      <c r="A9" s="220"/>
      <c r="B9" s="394"/>
      <c r="C9" s="221"/>
      <c r="D9" s="249"/>
      <c r="E9" s="250"/>
      <c r="F9" s="341"/>
      <c r="G9" s="259"/>
      <c r="H9" s="260"/>
      <c r="I9" s="258"/>
      <c r="J9" s="258"/>
      <c r="K9" s="258"/>
      <c r="L9" s="258"/>
      <c r="M9" s="253"/>
      <c r="O9" s="254"/>
      <c r="P9" s="255"/>
      <c r="Q9" s="256"/>
      <c r="R9" s="256"/>
      <c r="S9" s="257"/>
      <c r="T9" s="219"/>
      <c r="U9" s="219"/>
    </row>
    <row r="10" spans="1:21" ht="12">
      <c r="A10" s="220"/>
      <c r="B10" s="390"/>
      <c r="C10" s="221"/>
      <c r="D10" s="249"/>
      <c r="E10" s="250"/>
      <c r="F10" s="264"/>
      <c r="G10" s="259"/>
      <c r="H10" s="260"/>
      <c r="I10" s="258"/>
      <c r="J10" s="258"/>
      <c r="K10" s="258"/>
      <c r="L10" s="258"/>
      <c r="M10" s="253"/>
      <c r="O10" s="254"/>
      <c r="P10" s="255"/>
      <c r="Q10" s="256"/>
      <c r="R10" s="256"/>
      <c r="S10" s="257"/>
      <c r="T10" s="219"/>
      <c r="U10" s="219"/>
    </row>
    <row r="11" spans="1:21" ht="12">
      <c r="A11" s="220"/>
      <c r="B11" s="390"/>
      <c r="C11" s="221"/>
      <c r="D11" s="249"/>
      <c r="E11" s="250"/>
      <c r="F11" s="264"/>
      <c r="G11" s="259"/>
      <c r="H11" s="260"/>
      <c r="I11" s="258"/>
      <c r="J11" s="258"/>
      <c r="K11" s="258"/>
      <c r="L11" s="258"/>
      <c r="M11" s="253"/>
      <c r="O11" s="254"/>
      <c r="P11" s="255"/>
      <c r="Q11" s="256"/>
      <c r="R11" s="256"/>
      <c r="S11" s="257"/>
      <c r="T11" s="219"/>
      <c r="U11" s="219"/>
    </row>
    <row r="12" spans="1:21" ht="12">
      <c r="A12" s="220"/>
      <c r="B12" s="390"/>
      <c r="C12" s="221"/>
      <c r="D12" s="249"/>
      <c r="E12" s="250"/>
      <c r="F12" s="302"/>
      <c r="G12" s="259"/>
      <c r="H12" s="260"/>
      <c r="I12" s="258"/>
      <c r="J12" s="258"/>
      <c r="K12" s="258"/>
      <c r="L12" s="258"/>
      <c r="M12" s="253"/>
      <c r="O12" s="254"/>
      <c r="P12" s="255"/>
      <c r="Q12" s="256"/>
      <c r="R12" s="256"/>
      <c r="S12" s="257"/>
      <c r="T12" s="219"/>
      <c r="U12" s="219"/>
    </row>
    <row r="13" spans="1:21" ht="12">
      <c r="A13" s="220"/>
      <c r="B13" s="390"/>
      <c r="C13" s="221"/>
      <c r="D13" s="249"/>
      <c r="E13" s="250"/>
      <c r="F13" s="264"/>
      <c r="G13" s="259"/>
      <c r="H13" s="260"/>
      <c r="I13" s="258"/>
      <c r="J13" s="258"/>
      <c r="K13" s="258"/>
      <c r="L13" s="258"/>
      <c r="M13" s="253"/>
      <c r="O13" s="254"/>
      <c r="P13" s="255"/>
      <c r="Q13" s="256"/>
      <c r="R13" s="256"/>
      <c r="S13" s="257"/>
      <c r="T13" s="219"/>
      <c r="U13" s="219"/>
    </row>
    <row r="14" spans="1:21" ht="12">
      <c r="A14" s="220"/>
      <c r="B14" s="390"/>
      <c r="C14" s="221"/>
      <c r="D14" s="249"/>
      <c r="E14" s="250"/>
      <c r="F14" s="264"/>
      <c r="G14" s="259"/>
      <c r="H14" s="260"/>
      <c r="I14" s="258"/>
      <c r="J14" s="258"/>
      <c r="K14" s="258"/>
      <c r="L14" s="258"/>
      <c r="M14" s="253"/>
      <c r="O14" s="254"/>
      <c r="P14" s="255"/>
      <c r="Q14" s="256"/>
      <c r="R14" s="256"/>
      <c r="S14" s="257"/>
      <c r="T14" s="219"/>
      <c r="U14" s="219"/>
    </row>
    <row r="15" spans="1:21" ht="12">
      <c r="A15" s="220"/>
      <c r="B15" s="390"/>
      <c r="C15" s="221"/>
      <c r="D15" s="249"/>
      <c r="E15" s="250"/>
      <c r="F15" s="264"/>
      <c r="G15" s="259"/>
      <c r="H15" s="260"/>
      <c r="I15" s="258"/>
      <c r="J15" s="258"/>
      <c r="K15" s="258"/>
      <c r="L15" s="258"/>
      <c r="M15" s="253"/>
      <c r="O15" s="254"/>
      <c r="P15" s="255"/>
      <c r="Q15" s="256"/>
      <c r="R15" s="256"/>
      <c r="S15" s="257"/>
      <c r="T15" s="219"/>
      <c r="U15" s="219"/>
    </row>
    <row r="16" spans="1:21" ht="12">
      <c r="A16" s="220"/>
      <c r="B16" s="390"/>
      <c r="C16" s="221"/>
      <c r="D16" s="249"/>
      <c r="E16" s="250"/>
      <c r="F16" s="300"/>
      <c r="G16" s="259"/>
      <c r="H16" s="260"/>
      <c r="I16" s="258"/>
      <c r="J16" s="258"/>
      <c r="K16" s="258"/>
      <c r="L16" s="258"/>
      <c r="M16" s="253"/>
      <c r="O16" s="254"/>
      <c r="P16" s="255"/>
      <c r="Q16" s="256"/>
      <c r="R16" s="256"/>
      <c r="S16" s="257"/>
      <c r="T16" s="219"/>
      <c r="U16" s="219"/>
    </row>
    <row r="17" spans="1:21" ht="12">
      <c r="A17" s="220"/>
      <c r="B17" s="390"/>
      <c r="C17" s="221"/>
      <c r="D17" s="249"/>
      <c r="E17" s="250"/>
      <c r="F17" s="301"/>
      <c r="G17" s="259"/>
      <c r="H17" s="260"/>
      <c r="I17" s="258"/>
      <c r="J17" s="258"/>
      <c r="K17" s="258"/>
      <c r="L17" s="258"/>
      <c r="M17" s="253"/>
      <c r="O17" s="254"/>
      <c r="P17" s="255"/>
      <c r="Q17" s="256"/>
      <c r="R17" s="256"/>
      <c r="S17" s="257"/>
      <c r="T17" s="219"/>
      <c r="U17" s="219"/>
    </row>
    <row r="18" spans="1:21" ht="12">
      <c r="A18" s="220"/>
      <c r="B18" s="391"/>
      <c r="C18" s="221"/>
      <c r="D18" s="249"/>
      <c r="E18" s="250"/>
      <c r="F18" s="301"/>
      <c r="G18" s="259"/>
      <c r="H18" s="260"/>
      <c r="I18" s="258"/>
      <c r="J18" s="258"/>
      <c r="K18" s="258"/>
      <c r="L18" s="258"/>
      <c r="M18" s="253"/>
      <c r="O18" s="254"/>
      <c r="P18" s="255"/>
      <c r="Q18" s="256"/>
      <c r="R18" s="256"/>
      <c r="S18" s="257"/>
      <c r="T18" s="219"/>
      <c r="U18" s="219"/>
    </row>
    <row r="19" spans="1:21" ht="12">
      <c r="A19" s="220"/>
      <c r="B19" s="390"/>
      <c r="C19" s="221"/>
      <c r="D19" s="249"/>
      <c r="E19" s="250"/>
      <c r="F19" s="301"/>
      <c r="G19" s="259"/>
      <c r="H19" s="260"/>
      <c r="I19" s="258"/>
      <c r="J19" s="258"/>
      <c r="K19" s="258"/>
      <c r="L19" s="258"/>
      <c r="M19" s="253"/>
      <c r="O19" s="225"/>
      <c r="P19" s="226"/>
      <c r="Q19" s="261"/>
      <c r="R19" s="261"/>
      <c r="S19" s="262"/>
      <c r="T19" s="219"/>
      <c r="U19" s="219"/>
    </row>
    <row r="20" spans="1:21" ht="12">
      <c r="A20" s="220"/>
      <c r="B20" s="390"/>
      <c r="C20" s="221"/>
      <c r="D20" s="249"/>
      <c r="E20" s="250"/>
      <c r="F20" s="264"/>
      <c r="G20" s="259"/>
      <c r="H20" s="260"/>
      <c r="I20" s="258"/>
      <c r="J20" s="258"/>
      <c r="K20" s="258"/>
      <c r="L20" s="258"/>
      <c r="M20" s="253"/>
      <c r="O20" s="245"/>
      <c r="P20" s="246"/>
      <c r="Q20" s="247"/>
      <c r="R20" s="247"/>
      <c r="S20" s="248"/>
      <c r="T20" s="219"/>
      <c r="U20" s="219"/>
    </row>
    <row r="21" spans="1:21" ht="12">
      <c r="A21" s="220"/>
      <c r="B21" s="390"/>
      <c r="C21" s="221"/>
      <c r="D21" s="249"/>
      <c r="E21" s="250"/>
      <c r="F21" s="264"/>
      <c r="G21" s="259"/>
      <c r="H21" s="260"/>
      <c r="I21" s="258"/>
      <c r="J21" s="258"/>
      <c r="K21" s="258"/>
      <c r="L21" s="258"/>
      <c r="M21" s="253"/>
      <c r="N21" s="393"/>
      <c r="O21" s="220"/>
      <c r="P21" s="207"/>
      <c r="Q21" s="207"/>
      <c r="R21" s="219"/>
      <c r="S21" s="257"/>
      <c r="T21" s="219"/>
      <c r="U21" s="219"/>
    </row>
    <row r="22" spans="1:21" ht="12">
      <c r="A22" s="220"/>
      <c r="B22" s="390"/>
      <c r="C22" s="221"/>
      <c r="D22" s="249"/>
      <c r="E22" s="250"/>
      <c r="F22" s="300"/>
      <c r="G22" s="259"/>
      <c r="H22" s="260"/>
      <c r="I22" s="258"/>
      <c r="J22" s="258"/>
      <c r="K22" s="258"/>
      <c r="L22" s="258"/>
      <c r="M22" s="253"/>
      <c r="O22" s="229"/>
      <c r="P22" s="482"/>
      <c r="Q22" s="483"/>
      <c r="R22" s="227"/>
      <c r="S22" s="262"/>
      <c r="T22" s="219"/>
      <c r="U22" s="219"/>
    </row>
    <row r="23" spans="1:13" ht="12">
      <c r="A23" s="220"/>
      <c r="B23" s="390"/>
      <c r="C23" s="221"/>
      <c r="D23" s="249"/>
      <c r="E23" s="250"/>
      <c r="F23" s="264"/>
      <c r="G23" s="259"/>
      <c r="H23" s="260"/>
      <c r="I23" s="258"/>
      <c r="J23" s="258"/>
      <c r="K23" s="258"/>
      <c r="L23" s="258"/>
      <c r="M23" s="253"/>
    </row>
    <row r="24" spans="1:17" ht="12">
      <c r="A24" s="220"/>
      <c r="B24" s="390"/>
      <c r="C24" s="221"/>
      <c r="D24" s="249"/>
      <c r="E24" s="250"/>
      <c r="F24" s="301"/>
      <c r="G24" s="259"/>
      <c r="H24" s="260"/>
      <c r="I24" s="258"/>
      <c r="J24" s="258"/>
      <c r="K24" s="258"/>
      <c r="L24" s="258"/>
      <c r="M24" s="253"/>
      <c r="O24" s="484"/>
      <c r="P24" s="246"/>
      <c r="Q24" s="485"/>
    </row>
    <row r="25" spans="1:19" ht="12">
      <c r="A25" s="220"/>
      <c r="B25" s="390"/>
      <c r="C25" s="221"/>
      <c r="D25" s="249"/>
      <c r="E25" s="250"/>
      <c r="F25" s="301"/>
      <c r="G25" s="259"/>
      <c r="H25" s="260"/>
      <c r="I25" s="258"/>
      <c r="J25" s="258"/>
      <c r="K25" s="258"/>
      <c r="L25" s="258"/>
      <c r="M25" s="253"/>
      <c r="O25" s="486"/>
      <c r="P25" s="255"/>
      <c r="Q25" s="487"/>
      <c r="R25" s="207"/>
      <c r="S25" s="263"/>
    </row>
    <row r="26" spans="1:19" ht="12">
      <c r="A26" s="220"/>
      <c r="B26" s="391"/>
      <c r="C26" s="221"/>
      <c r="D26" s="249"/>
      <c r="E26" s="250"/>
      <c r="F26" s="301"/>
      <c r="G26" s="259"/>
      <c r="H26" s="260"/>
      <c r="I26" s="258"/>
      <c r="J26" s="258"/>
      <c r="K26" s="258"/>
      <c r="L26" s="258"/>
      <c r="M26" s="253"/>
      <c r="O26" s="220"/>
      <c r="P26" s="207"/>
      <c r="Q26" s="488"/>
      <c r="R26" s="207"/>
      <c r="S26" s="207"/>
    </row>
    <row r="27" spans="1:19" ht="12">
      <c r="A27" s="220"/>
      <c r="B27" s="390"/>
      <c r="C27" s="221"/>
      <c r="D27" s="249"/>
      <c r="E27" s="250"/>
      <c r="F27" s="264"/>
      <c r="G27" s="259"/>
      <c r="H27" s="260"/>
      <c r="I27" s="258"/>
      <c r="J27" s="258"/>
      <c r="K27" s="258"/>
      <c r="L27" s="258"/>
      <c r="M27" s="253"/>
      <c r="O27" s="229"/>
      <c r="P27" s="482"/>
      <c r="Q27" s="489"/>
      <c r="R27" s="207"/>
      <c r="S27" s="207"/>
    </row>
    <row r="28" spans="1:13" ht="12">
      <c r="A28" s="220"/>
      <c r="B28" s="390"/>
      <c r="C28" s="221"/>
      <c r="D28" s="249"/>
      <c r="E28" s="250"/>
      <c r="F28" s="300"/>
      <c r="G28" s="259"/>
      <c r="H28" s="260"/>
      <c r="I28" s="258"/>
      <c r="J28" s="258"/>
      <c r="K28" s="258"/>
      <c r="L28" s="258"/>
      <c r="M28" s="253"/>
    </row>
    <row r="29" spans="1:13" ht="12">
      <c r="A29" s="220"/>
      <c r="B29" s="390"/>
      <c r="C29" s="221"/>
      <c r="D29" s="249"/>
      <c r="E29" s="250"/>
      <c r="F29" s="301"/>
      <c r="G29" s="259"/>
      <c r="H29" s="260"/>
      <c r="I29" s="258"/>
      <c r="J29" s="258"/>
      <c r="K29" s="258"/>
      <c r="L29" s="258"/>
      <c r="M29" s="253"/>
    </row>
    <row r="30" spans="1:13" ht="12">
      <c r="A30" s="220"/>
      <c r="B30" s="390"/>
      <c r="C30" s="221"/>
      <c r="D30" s="249"/>
      <c r="E30" s="250"/>
      <c r="F30" s="301"/>
      <c r="G30" s="259"/>
      <c r="H30" s="260"/>
      <c r="I30" s="252"/>
      <c r="J30" s="252"/>
      <c r="K30" s="258"/>
      <c r="L30" s="258"/>
      <c r="M30" s="253"/>
    </row>
    <row r="31" spans="1:13" ht="12">
      <c r="A31" s="220"/>
      <c r="B31" s="390"/>
      <c r="C31" s="221"/>
      <c r="D31" s="249"/>
      <c r="E31" s="250"/>
      <c r="F31" s="301"/>
      <c r="G31" s="259"/>
      <c r="H31" s="260"/>
      <c r="I31" s="258"/>
      <c r="J31" s="258"/>
      <c r="K31" s="258"/>
      <c r="L31" s="258"/>
      <c r="M31" s="253"/>
    </row>
    <row r="32" spans="1:13" ht="12">
      <c r="A32" s="220"/>
      <c r="B32" s="390"/>
      <c r="C32" s="221"/>
      <c r="D32" s="249"/>
      <c r="E32" s="250"/>
      <c r="F32" s="301"/>
      <c r="G32" s="259"/>
      <c r="H32" s="260"/>
      <c r="I32" s="258"/>
      <c r="J32" s="258"/>
      <c r="K32" s="258"/>
      <c r="L32" s="258"/>
      <c r="M32" s="253"/>
    </row>
    <row r="33" spans="1:13" ht="12">
      <c r="A33" s="220"/>
      <c r="B33" s="390"/>
      <c r="C33" s="221"/>
      <c r="D33" s="249"/>
      <c r="E33" s="250"/>
      <c r="F33" s="264"/>
      <c r="G33" s="259"/>
      <c r="H33" s="260"/>
      <c r="I33" s="258"/>
      <c r="J33" s="258"/>
      <c r="K33" s="258"/>
      <c r="L33" s="258"/>
      <c r="M33" s="253"/>
    </row>
    <row r="34" spans="1:13" ht="12">
      <c r="A34" s="220"/>
      <c r="B34" s="390"/>
      <c r="C34" s="221"/>
      <c r="D34" s="249"/>
      <c r="E34" s="250"/>
      <c r="F34" s="264"/>
      <c r="G34" s="259"/>
      <c r="H34" s="260"/>
      <c r="I34" s="258"/>
      <c r="J34" s="258"/>
      <c r="K34" s="258"/>
      <c r="L34" s="258"/>
      <c r="M34" s="253"/>
    </row>
    <row r="35" spans="1:13" ht="12">
      <c r="A35" s="220"/>
      <c r="B35" s="390"/>
      <c r="C35" s="221"/>
      <c r="D35" s="249"/>
      <c r="E35" s="250"/>
      <c r="F35" s="301"/>
      <c r="G35" s="259"/>
      <c r="H35" s="260"/>
      <c r="I35" s="258"/>
      <c r="J35" s="258"/>
      <c r="K35" s="258"/>
      <c r="L35" s="258"/>
      <c r="M35" s="253"/>
    </row>
    <row r="36" spans="1:13" ht="12">
      <c r="A36" s="220"/>
      <c r="B36" s="390"/>
      <c r="C36" s="221"/>
      <c r="D36" s="249"/>
      <c r="E36" s="250"/>
      <c r="F36" s="264"/>
      <c r="G36" s="259"/>
      <c r="H36" s="260"/>
      <c r="I36" s="258"/>
      <c r="J36" s="258"/>
      <c r="K36" s="258"/>
      <c r="L36" s="258"/>
      <c r="M36" s="253"/>
    </row>
    <row r="37" spans="1:13" ht="12">
      <c r="A37" s="220"/>
      <c r="B37" s="390"/>
      <c r="C37" s="221"/>
      <c r="D37" s="249"/>
      <c r="E37" s="250"/>
      <c r="F37" s="301"/>
      <c r="G37" s="259"/>
      <c r="H37" s="260"/>
      <c r="I37" s="258"/>
      <c r="J37" s="258"/>
      <c r="K37" s="258"/>
      <c r="L37" s="258"/>
      <c r="M37" s="253"/>
    </row>
    <row r="38" spans="1:13" ht="12">
      <c r="A38" s="220"/>
      <c r="B38" s="390"/>
      <c r="C38" s="221"/>
      <c r="D38" s="249"/>
      <c r="E38" s="250"/>
      <c r="F38" s="301"/>
      <c r="G38" s="259"/>
      <c r="H38" s="260"/>
      <c r="I38" s="252"/>
      <c r="J38" s="258"/>
      <c r="K38" s="258"/>
      <c r="L38" s="258"/>
      <c r="M38" s="253"/>
    </row>
    <row r="39" spans="1:13" ht="12">
      <c r="A39" s="220"/>
      <c r="B39" s="390"/>
      <c r="C39" s="221"/>
      <c r="D39" s="249"/>
      <c r="E39" s="250"/>
      <c r="F39" s="301"/>
      <c r="G39" s="259"/>
      <c r="H39" s="260"/>
      <c r="I39" s="258"/>
      <c r="J39" s="258"/>
      <c r="K39" s="258"/>
      <c r="L39" s="258"/>
      <c r="M39" s="253"/>
    </row>
    <row r="40" spans="1:13" ht="12">
      <c r="A40" s="220"/>
      <c r="B40" s="390"/>
      <c r="C40" s="221"/>
      <c r="D40" s="249"/>
      <c r="E40" s="250"/>
      <c r="F40" s="301"/>
      <c r="G40" s="259"/>
      <c r="H40" s="260"/>
      <c r="I40" s="258"/>
      <c r="J40" s="258"/>
      <c r="K40" s="258"/>
      <c r="L40" s="258"/>
      <c r="M40" s="253"/>
    </row>
    <row r="41" spans="1:13" ht="12">
      <c r="A41" s="220"/>
      <c r="B41" s="390"/>
      <c r="C41" s="221"/>
      <c r="D41" s="249"/>
      <c r="E41" s="250"/>
      <c r="F41" s="301"/>
      <c r="G41" s="259"/>
      <c r="H41" s="260"/>
      <c r="I41" s="258"/>
      <c r="J41" s="258"/>
      <c r="K41" s="258"/>
      <c r="L41" s="258"/>
      <c r="M41" s="253"/>
    </row>
    <row r="42" spans="1:13" ht="12">
      <c r="A42" s="220"/>
      <c r="B42" s="390"/>
      <c r="C42" s="221"/>
      <c r="D42" s="249"/>
      <c r="E42" s="250"/>
      <c r="F42" s="264"/>
      <c r="G42" s="259"/>
      <c r="H42" s="260"/>
      <c r="I42" s="258"/>
      <c r="J42" s="258"/>
      <c r="K42" s="258"/>
      <c r="L42" s="258"/>
      <c r="M42" s="253"/>
    </row>
    <row r="43" spans="1:13" ht="12">
      <c r="A43" s="220"/>
      <c r="B43" s="390"/>
      <c r="C43" s="221"/>
      <c r="D43" s="249"/>
      <c r="E43" s="250"/>
      <c r="F43" s="300"/>
      <c r="G43" s="259"/>
      <c r="H43" s="260"/>
      <c r="I43" s="258"/>
      <c r="J43" s="258"/>
      <c r="K43" s="258"/>
      <c r="L43" s="258"/>
      <c r="M43" s="253"/>
    </row>
    <row r="44" spans="1:13" ht="12">
      <c r="A44" s="220"/>
      <c r="B44" s="391"/>
      <c r="C44" s="221"/>
      <c r="D44" s="249"/>
      <c r="E44" s="250"/>
      <c r="F44" s="301"/>
      <c r="G44" s="259"/>
      <c r="H44" s="260"/>
      <c r="I44" s="258"/>
      <c r="J44" s="258"/>
      <c r="K44" s="258"/>
      <c r="L44" s="258"/>
      <c r="M44" s="253"/>
    </row>
    <row r="45" spans="1:13" ht="12">
      <c r="A45" s="220"/>
      <c r="B45" s="390"/>
      <c r="C45" s="221"/>
      <c r="D45" s="249"/>
      <c r="E45" s="250"/>
      <c r="F45" s="301"/>
      <c r="G45" s="259"/>
      <c r="H45" s="260"/>
      <c r="I45" s="252"/>
      <c r="J45" s="258"/>
      <c r="K45" s="258"/>
      <c r="L45" s="258"/>
      <c r="M45" s="253"/>
    </row>
    <row r="46" spans="1:13" ht="12">
      <c r="A46" s="220"/>
      <c r="B46" s="390"/>
      <c r="C46" s="221"/>
      <c r="D46" s="249"/>
      <c r="E46" s="250"/>
      <c r="F46" s="389"/>
      <c r="G46" s="259"/>
      <c r="H46" s="260"/>
      <c r="I46" s="252"/>
      <c r="J46" s="258"/>
      <c r="K46" s="258"/>
      <c r="L46" s="258"/>
      <c r="M46" s="253"/>
    </row>
    <row r="47" spans="1:13" ht="12">
      <c r="A47" s="220"/>
      <c r="B47" s="390"/>
      <c r="C47" s="265"/>
      <c r="D47" s="249"/>
      <c r="E47" s="250"/>
      <c r="F47" s="303"/>
      <c r="G47" s="259"/>
      <c r="H47" s="260"/>
      <c r="I47" s="258"/>
      <c r="J47" s="258"/>
      <c r="K47" s="258"/>
      <c r="L47" s="258"/>
      <c r="M47" s="253"/>
    </row>
    <row r="48" spans="1:13" ht="12">
      <c r="A48" s="220"/>
      <c r="B48" s="390"/>
      <c r="C48" s="265"/>
      <c r="D48" s="249"/>
      <c r="E48" s="250"/>
      <c r="F48" s="264"/>
      <c r="G48" s="259"/>
      <c r="H48" s="260"/>
      <c r="I48" s="258"/>
      <c r="J48" s="258"/>
      <c r="K48" s="258"/>
      <c r="L48" s="258"/>
      <c r="M48" s="253"/>
    </row>
    <row r="49" spans="1:13" ht="12">
      <c r="A49" s="220"/>
      <c r="B49" s="390"/>
      <c r="C49" s="265"/>
      <c r="D49" s="249"/>
      <c r="E49" s="250"/>
      <c r="F49" s="264"/>
      <c r="G49" s="259"/>
      <c r="H49" s="260"/>
      <c r="I49" s="258"/>
      <c r="J49" s="258"/>
      <c r="K49" s="258"/>
      <c r="L49" s="258"/>
      <c r="M49" s="253"/>
    </row>
    <row r="50" spans="1:13" ht="12">
      <c r="A50" s="220"/>
      <c r="B50" s="390"/>
      <c r="C50" s="265"/>
      <c r="D50" s="249"/>
      <c r="E50" s="250"/>
      <c r="F50" s="264"/>
      <c r="G50" s="259"/>
      <c r="H50" s="260"/>
      <c r="I50" s="258"/>
      <c r="J50" s="258"/>
      <c r="K50" s="258"/>
      <c r="L50" s="258"/>
      <c r="M50" s="253"/>
    </row>
    <row r="51" spans="1:13" ht="12">
      <c r="A51" s="220"/>
      <c r="B51" s="390"/>
      <c r="C51" s="265"/>
      <c r="D51" s="249"/>
      <c r="E51" s="250"/>
      <c r="F51" s="301"/>
      <c r="G51" s="259"/>
      <c r="H51" s="260"/>
      <c r="I51" s="258"/>
      <c r="J51" s="258"/>
      <c r="K51" s="258"/>
      <c r="L51" s="258"/>
      <c r="M51" s="253"/>
    </row>
    <row r="52" spans="1:13" ht="12">
      <c r="A52" s="220"/>
      <c r="B52" s="390"/>
      <c r="C52" s="221"/>
      <c r="D52" s="249"/>
      <c r="E52" s="250"/>
      <c r="F52" s="300"/>
      <c r="G52" s="259"/>
      <c r="H52" s="260"/>
      <c r="I52" s="258"/>
      <c r="J52" s="258"/>
      <c r="K52" s="258"/>
      <c r="L52" s="258"/>
      <c r="M52" s="253"/>
    </row>
    <row r="53" spans="1:13" ht="12">
      <c r="A53" s="220"/>
      <c r="B53" s="390"/>
      <c r="C53" s="265"/>
      <c r="D53" s="249"/>
      <c r="E53" s="250"/>
      <c r="F53" s="301"/>
      <c r="G53" s="259"/>
      <c r="H53" s="260"/>
      <c r="I53" s="258"/>
      <c r="J53" s="258"/>
      <c r="K53" s="258"/>
      <c r="L53" s="258"/>
      <c r="M53" s="253"/>
    </row>
    <row r="54" spans="1:13" ht="12">
      <c r="A54" s="220"/>
      <c r="B54" s="390"/>
      <c r="C54" s="265"/>
      <c r="D54" s="249"/>
      <c r="E54" s="250"/>
      <c r="F54" s="301"/>
      <c r="G54" s="259"/>
      <c r="H54" s="260"/>
      <c r="I54" s="258"/>
      <c r="J54" s="258"/>
      <c r="K54" s="258"/>
      <c r="L54" s="258"/>
      <c r="M54" s="253"/>
    </row>
    <row r="55" spans="1:13" ht="12">
      <c r="A55" s="220"/>
      <c r="B55" s="390"/>
      <c r="C55" s="265"/>
      <c r="D55" s="249"/>
      <c r="E55" s="250"/>
      <c r="F55" s="300"/>
      <c r="G55" s="259"/>
      <c r="H55" s="260"/>
      <c r="I55" s="258"/>
      <c r="J55" s="258"/>
      <c r="K55" s="258"/>
      <c r="L55" s="258"/>
      <c r="M55" s="253"/>
    </row>
    <row r="56" spans="1:13" ht="12">
      <c r="A56" s="220"/>
      <c r="B56" s="390"/>
      <c r="C56" s="265"/>
      <c r="D56" s="249"/>
      <c r="E56" s="250"/>
      <c r="F56" s="301"/>
      <c r="G56" s="259"/>
      <c r="H56" s="260"/>
      <c r="I56" s="258"/>
      <c r="J56" s="258"/>
      <c r="K56" s="258"/>
      <c r="L56" s="258"/>
      <c r="M56" s="253"/>
    </row>
    <row r="57" spans="1:13" ht="12">
      <c r="A57" s="220"/>
      <c r="B57" s="390"/>
      <c r="C57" s="265"/>
      <c r="D57" s="249"/>
      <c r="E57" s="250"/>
      <c r="F57" s="301"/>
      <c r="G57" s="259"/>
      <c r="H57" s="260"/>
      <c r="I57" s="258"/>
      <c r="J57" s="258"/>
      <c r="K57" s="258"/>
      <c r="L57" s="258"/>
      <c r="M57" s="253"/>
    </row>
    <row r="58" spans="1:13" ht="12">
      <c r="A58" s="220"/>
      <c r="B58" s="390"/>
      <c r="C58" s="265"/>
      <c r="D58" s="249"/>
      <c r="E58" s="250"/>
      <c r="F58" s="301"/>
      <c r="G58" s="259"/>
      <c r="H58" s="260"/>
      <c r="I58" s="258"/>
      <c r="J58" s="258"/>
      <c r="K58" s="258"/>
      <c r="L58" s="258"/>
      <c r="M58" s="253"/>
    </row>
    <row r="59" spans="1:13" ht="12">
      <c r="A59" s="220"/>
      <c r="B59" s="390"/>
      <c r="C59" s="265"/>
      <c r="D59" s="249"/>
      <c r="E59" s="250"/>
      <c r="F59" s="301"/>
      <c r="G59" s="259"/>
      <c r="H59" s="260"/>
      <c r="I59" s="258"/>
      <c r="J59" s="258"/>
      <c r="K59" s="258"/>
      <c r="L59" s="258"/>
      <c r="M59" s="253"/>
    </row>
    <row r="60" spans="1:13" ht="12">
      <c r="A60" s="220"/>
      <c r="B60" s="390"/>
      <c r="C60" s="265"/>
      <c r="D60" s="249"/>
      <c r="E60" s="250"/>
      <c r="F60" s="264"/>
      <c r="G60" s="259"/>
      <c r="H60" s="260"/>
      <c r="I60" s="258"/>
      <c r="J60" s="258"/>
      <c r="K60" s="258"/>
      <c r="L60" s="258"/>
      <c r="M60" s="253"/>
    </row>
    <row r="61" spans="1:13" ht="12">
      <c r="A61" s="220"/>
      <c r="B61" s="390"/>
      <c r="C61" s="265"/>
      <c r="D61" s="249"/>
      <c r="E61" s="250"/>
      <c r="F61" s="264"/>
      <c r="G61" s="219"/>
      <c r="H61" s="251"/>
      <c r="I61" s="258"/>
      <c r="J61" s="258"/>
      <c r="K61" s="258"/>
      <c r="L61" s="258"/>
      <c r="M61" s="253"/>
    </row>
    <row r="62" spans="1:13" ht="12">
      <c r="A62" s="220"/>
      <c r="B62" s="390"/>
      <c r="C62" s="221"/>
      <c r="D62" s="249"/>
      <c r="E62" s="250"/>
      <c r="F62" s="301"/>
      <c r="G62" s="259"/>
      <c r="H62" s="260"/>
      <c r="I62" s="258"/>
      <c r="J62" s="258"/>
      <c r="K62" s="258"/>
      <c r="L62" s="258"/>
      <c r="M62" s="253"/>
    </row>
    <row r="63" spans="1:13" ht="12">
      <c r="A63" s="220"/>
      <c r="B63" s="390"/>
      <c r="C63" s="221"/>
      <c r="D63" s="249"/>
      <c r="E63" s="250"/>
      <c r="F63" s="301"/>
      <c r="G63" s="259"/>
      <c r="H63" s="260"/>
      <c r="I63" s="258"/>
      <c r="J63" s="258"/>
      <c r="K63" s="258"/>
      <c r="L63" s="258"/>
      <c r="M63" s="253"/>
    </row>
    <row r="64" spans="1:13" ht="12">
      <c r="A64" s="220"/>
      <c r="B64" s="390"/>
      <c r="C64" s="221"/>
      <c r="D64" s="249"/>
      <c r="E64" s="250"/>
      <c r="F64" s="264"/>
      <c r="G64" s="259"/>
      <c r="H64" s="260"/>
      <c r="I64" s="258"/>
      <c r="J64" s="258"/>
      <c r="K64" s="258"/>
      <c r="L64" s="258"/>
      <c r="M64" s="253"/>
    </row>
    <row r="65" spans="1:13" ht="12">
      <c r="A65" s="220"/>
      <c r="B65" s="390"/>
      <c r="C65" s="221"/>
      <c r="D65" s="249"/>
      <c r="E65" s="250"/>
      <c r="F65" s="264"/>
      <c r="G65" s="259"/>
      <c r="H65" s="260"/>
      <c r="I65" s="258"/>
      <c r="J65" s="258"/>
      <c r="K65" s="258"/>
      <c r="L65" s="258"/>
      <c r="M65" s="253"/>
    </row>
    <row r="66" spans="1:16" ht="12">
      <c r="A66" s="220"/>
      <c r="B66" s="390"/>
      <c r="C66" s="221"/>
      <c r="D66" s="249"/>
      <c r="E66" s="250"/>
      <c r="F66" s="301"/>
      <c r="G66" s="259"/>
      <c r="H66" s="260"/>
      <c r="I66" s="258"/>
      <c r="J66" s="258"/>
      <c r="K66" s="258"/>
      <c r="L66" s="258"/>
      <c r="M66" s="253"/>
      <c r="P66" s="266"/>
    </row>
    <row r="67" spans="1:16" ht="12">
      <c r="A67" s="220"/>
      <c r="B67" s="391"/>
      <c r="C67" s="221"/>
      <c r="D67" s="249"/>
      <c r="E67" s="250"/>
      <c r="F67" s="301"/>
      <c r="G67" s="259"/>
      <c r="H67" s="260"/>
      <c r="I67" s="258"/>
      <c r="J67" s="258"/>
      <c r="K67" s="258"/>
      <c r="L67" s="258"/>
      <c r="M67" s="253"/>
      <c r="P67" s="266"/>
    </row>
    <row r="68" spans="1:16" ht="12">
      <c r="A68" s="220"/>
      <c r="B68" s="391"/>
      <c r="C68" s="221"/>
      <c r="D68" s="249"/>
      <c r="E68" s="250"/>
      <c r="F68" s="301"/>
      <c r="G68" s="259"/>
      <c r="H68" s="260"/>
      <c r="I68" s="258"/>
      <c r="J68" s="258"/>
      <c r="K68" s="258"/>
      <c r="L68" s="258"/>
      <c r="M68" s="253"/>
      <c r="P68" s="266"/>
    </row>
    <row r="69" spans="1:16" ht="12">
      <c r="A69" s="220"/>
      <c r="B69" s="391"/>
      <c r="C69" s="221"/>
      <c r="D69" s="249"/>
      <c r="E69" s="250"/>
      <c r="F69" s="301"/>
      <c r="G69" s="259"/>
      <c r="H69" s="260"/>
      <c r="I69" s="258"/>
      <c r="J69" s="258"/>
      <c r="K69" s="258"/>
      <c r="L69" s="258"/>
      <c r="M69" s="253"/>
      <c r="P69" s="266"/>
    </row>
    <row r="70" spans="1:16" ht="12">
      <c r="A70" s="220"/>
      <c r="B70" s="390"/>
      <c r="C70" s="221"/>
      <c r="D70" s="249"/>
      <c r="E70" s="250"/>
      <c r="F70" s="301"/>
      <c r="G70" s="259"/>
      <c r="H70" s="260"/>
      <c r="I70" s="252"/>
      <c r="J70" s="258"/>
      <c r="K70" s="258"/>
      <c r="L70" s="258"/>
      <c r="M70" s="253"/>
      <c r="O70" s="270"/>
      <c r="P70" s="266"/>
    </row>
    <row r="71" spans="1:13" ht="12">
      <c r="A71" s="220"/>
      <c r="B71" s="390"/>
      <c r="C71" s="221"/>
      <c r="D71" s="249"/>
      <c r="E71" s="250"/>
      <c r="F71" s="264"/>
      <c r="G71" s="259"/>
      <c r="H71" s="260"/>
      <c r="I71" s="258"/>
      <c r="J71" s="258"/>
      <c r="K71" s="258"/>
      <c r="L71" s="258"/>
      <c r="M71" s="253"/>
    </row>
    <row r="72" spans="1:13" ht="12">
      <c r="A72" s="220"/>
      <c r="B72" s="390"/>
      <c r="C72" s="221"/>
      <c r="D72" s="249"/>
      <c r="E72" s="250"/>
      <c r="F72" s="264"/>
      <c r="G72" s="259"/>
      <c r="H72" s="260"/>
      <c r="I72" s="258"/>
      <c r="J72" s="258"/>
      <c r="K72" s="258"/>
      <c r="L72" s="258"/>
      <c r="M72" s="253"/>
    </row>
    <row r="73" spans="1:16" ht="12">
      <c r="A73" s="220"/>
      <c r="B73" s="390"/>
      <c r="C73" s="265"/>
      <c r="D73" s="249"/>
      <c r="E73" s="250"/>
      <c r="F73" s="264"/>
      <c r="G73" s="219"/>
      <c r="H73" s="251"/>
      <c r="I73" s="258"/>
      <c r="J73" s="258"/>
      <c r="K73" s="258"/>
      <c r="L73" s="258"/>
      <c r="M73" s="253"/>
      <c r="O73" s="270"/>
      <c r="P73" s="266"/>
    </row>
    <row r="74" spans="1:16" ht="12">
      <c r="A74" s="220"/>
      <c r="B74" s="390"/>
      <c r="C74" s="265"/>
      <c r="D74" s="249"/>
      <c r="E74" s="250"/>
      <c r="F74" s="264"/>
      <c r="G74" s="219"/>
      <c r="H74" s="251"/>
      <c r="I74" s="258"/>
      <c r="J74" s="258"/>
      <c r="K74" s="258"/>
      <c r="L74" s="258"/>
      <c r="M74" s="253"/>
      <c r="O74" s="270"/>
      <c r="P74" s="266"/>
    </row>
    <row r="75" spans="1:16" ht="12">
      <c r="A75" s="220"/>
      <c r="B75" s="390"/>
      <c r="C75" s="265"/>
      <c r="D75" s="249"/>
      <c r="E75" s="250"/>
      <c r="F75" s="264"/>
      <c r="G75" s="219"/>
      <c r="H75" s="251"/>
      <c r="I75" s="258"/>
      <c r="J75" s="258"/>
      <c r="K75" s="258"/>
      <c r="L75" s="258"/>
      <c r="M75" s="253"/>
      <c r="O75" s="270"/>
      <c r="P75" s="266"/>
    </row>
    <row r="76" spans="1:16" ht="12">
      <c r="A76" s="220"/>
      <c r="B76" s="390"/>
      <c r="C76" s="265"/>
      <c r="D76" s="249"/>
      <c r="E76" s="250"/>
      <c r="F76" s="264"/>
      <c r="G76" s="219"/>
      <c r="H76" s="251"/>
      <c r="I76" s="258"/>
      <c r="J76" s="258"/>
      <c r="K76" s="258"/>
      <c r="L76" s="258"/>
      <c r="M76" s="253"/>
      <c r="O76" s="270"/>
      <c r="P76" s="266"/>
    </row>
    <row r="77" spans="1:16" ht="12">
      <c r="A77" s="220"/>
      <c r="B77" s="390"/>
      <c r="C77" s="265"/>
      <c r="D77" s="249"/>
      <c r="E77" s="250"/>
      <c r="F77" s="264"/>
      <c r="G77" s="219"/>
      <c r="H77" s="251"/>
      <c r="I77" s="258"/>
      <c r="J77" s="258"/>
      <c r="K77" s="258"/>
      <c r="L77" s="258"/>
      <c r="M77" s="253"/>
      <c r="O77" s="270"/>
      <c r="P77" s="266"/>
    </row>
    <row r="78" spans="1:16" ht="12">
      <c r="A78" s="220"/>
      <c r="B78" s="390"/>
      <c r="C78" s="265"/>
      <c r="D78" s="249"/>
      <c r="E78" s="250"/>
      <c r="F78" s="264"/>
      <c r="G78" s="219"/>
      <c r="H78" s="251"/>
      <c r="I78" s="258"/>
      <c r="J78" s="258"/>
      <c r="K78" s="258"/>
      <c r="L78" s="258"/>
      <c r="M78" s="253"/>
      <c r="O78" s="270"/>
      <c r="P78" s="266"/>
    </row>
    <row r="79" spans="1:16" ht="12">
      <c r="A79" s="220"/>
      <c r="B79" s="390"/>
      <c r="C79" s="265"/>
      <c r="D79" s="249"/>
      <c r="E79" s="250"/>
      <c r="F79" s="264"/>
      <c r="G79" s="219"/>
      <c r="H79" s="251"/>
      <c r="I79" s="258"/>
      <c r="J79" s="258"/>
      <c r="K79" s="258"/>
      <c r="L79" s="258"/>
      <c r="M79" s="253"/>
      <c r="O79" s="270"/>
      <c r="P79" s="266"/>
    </row>
    <row r="80" spans="1:16" ht="12">
      <c r="A80" s="220"/>
      <c r="B80" s="390"/>
      <c r="C80" s="265"/>
      <c r="D80" s="249"/>
      <c r="E80" s="250"/>
      <c r="F80" s="264"/>
      <c r="G80" s="219"/>
      <c r="H80" s="251"/>
      <c r="I80" s="258"/>
      <c r="J80" s="258"/>
      <c r="K80" s="258"/>
      <c r="L80" s="258"/>
      <c r="M80" s="253"/>
      <c r="O80" s="270"/>
      <c r="P80" s="266"/>
    </row>
    <row r="81" spans="1:13" ht="12">
      <c r="A81" s="220"/>
      <c r="B81" s="390"/>
      <c r="C81" s="265"/>
      <c r="D81" s="249"/>
      <c r="E81" s="250"/>
      <c r="F81" s="264"/>
      <c r="G81" s="299"/>
      <c r="H81" s="251"/>
      <c r="I81" s="258"/>
      <c r="J81" s="258"/>
      <c r="K81" s="258"/>
      <c r="L81" s="258"/>
      <c r="M81" s="253"/>
    </row>
    <row r="82" spans="1:13" ht="12">
      <c r="A82" s="395"/>
      <c r="B82" s="392"/>
      <c r="C82" s="267"/>
      <c r="D82" s="231"/>
      <c r="E82" s="231"/>
      <c r="F82" s="396"/>
      <c r="G82" s="490"/>
      <c r="H82" s="268"/>
      <c r="I82" s="272"/>
      <c r="J82" s="272"/>
      <c r="K82" s="272"/>
      <c r="L82" s="272"/>
      <c r="M82" s="244"/>
    </row>
    <row r="83" spans="3:15" ht="12.75" thickBot="1">
      <c r="C83" s="207"/>
      <c r="D83" s="269"/>
      <c r="E83" s="269"/>
      <c r="F83" s="206"/>
      <c r="G83" s="397"/>
      <c r="H83" s="208"/>
      <c r="M83" s="398"/>
      <c r="O83" s="270"/>
    </row>
    <row r="84" spans="3:13" ht="12.75" thickBot="1">
      <c r="C84" s="491"/>
      <c r="D84" s="492"/>
      <c r="E84" s="493"/>
      <c r="F84" s="494"/>
      <c r="G84" s="495"/>
      <c r="H84" s="496"/>
      <c r="I84" s="497"/>
      <c r="J84" s="497"/>
      <c r="K84" s="497"/>
      <c r="L84" s="497"/>
      <c r="M84" s="498"/>
    </row>
    <row r="85" spans="3:8" ht="12.75" thickBot="1">
      <c r="C85" s="229"/>
      <c r="D85" s="482"/>
      <c r="E85" s="499"/>
      <c r="F85" s="271"/>
      <c r="G85" s="207"/>
      <c r="H85" s="206"/>
    </row>
    <row r="86" spans="1:12" ht="12.75" thickBot="1">
      <c r="A86" s="204"/>
      <c r="C86" s="238"/>
      <c r="D86" s="500"/>
      <c r="E86" s="501"/>
      <c r="F86" s="502"/>
      <c r="G86" s="503"/>
      <c r="H86" s="504"/>
      <c r="I86" s="505"/>
      <c r="J86" s="481"/>
      <c r="K86" s="481"/>
      <c r="L86" s="481"/>
    </row>
    <row r="87" spans="4:12" ht="12.75" thickBot="1">
      <c r="D87" s="207"/>
      <c r="E87" s="207"/>
      <c r="F87" s="506"/>
      <c r="G87" s="507"/>
      <c r="H87" s="206"/>
      <c r="I87" s="207"/>
      <c r="J87" s="207"/>
      <c r="K87" s="207"/>
      <c r="L87" s="207"/>
    </row>
    <row r="88" ht="12">
      <c r="D88" s="403"/>
    </row>
    <row r="89" ht="12">
      <c r="D89" s="404"/>
    </row>
    <row r="90" ht="12">
      <c r="D90" s="403"/>
    </row>
    <row r="91" ht="12">
      <c r="D91" s="404"/>
    </row>
    <row r="92" ht="12">
      <c r="D92" s="404"/>
    </row>
  </sheetData>
  <printOptions gridLines="1" horizontalCentered="1"/>
  <pageMargins left="0.7874015748031497" right="0.7874015748031497" top="0.29" bottom="0.26" header="0.17" footer="0.24"/>
  <pageSetup horizontalDpi="300" verticalDpi="300" orientation="portrait" paperSize="9" scale="90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93"/>
  <sheetViews>
    <sheetView workbookViewId="0" topLeftCell="A1">
      <pane xSplit="2" ySplit="2" topLeftCell="AE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88" sqref="AR88"/>
    </sheetView>
  </sheetViews>
  <sheetFormatPr defaultColWidth="9.140625" defaultRowHeight="12.75"/>
  <cols>
    <col min="1" max="1" width="3.28125" style="276" customWidth="1"/>
    <col min="2" max="2" width="3.7109375" style="276" customWidth="1"/>
    <col min="3" max="13" width="4.7109375" style="277" customWidth="1"/>
    <col min="14" max="14" width="4.7109375" style="278" customWidth="1"/>
    <col min="15" max="27" width="4.7109375" style="277" customWidth="1"/>
    <col min="28" max="28" width="5.140625" style="277" customWidth="1"/>
    <col min="29" max="36" width="4.7109375" style="277" customWidth="1"/>
    <col min="37" max="37" width="4.7109375" style="279" customWidth="1"/>
    <col min="38" max="39" width="4.7109375" style="277" customWidth="1"/>
    <col min="40" max="40" width="5.28125" style="277" customWidth="1"/>
    <col min="41" max="43" width="4.7109375" style="277" customWidth="1"/>
    <col min="44" max="44" width="4.00390625" style="277" customWidth="1"/>
    <col min="45" max="45" width="4.7109375" style="277" customWidth="1"/>
    <col min="46" max="46" width="6.57421875" style="454" customWidth="1"/>
    <col min="47" max="47" width="6.00390625" style="454" customWidth="1"/>
    <col min="48" max="48" width="6.00390625" style="455" customWidth="1"/>
    <col min="49" max="49" width="4.7109375" style="277" customWidth="1"/>
    <col min="50" max="50" width="6.00390625" style="277" customWidth="1"/>
    <col min="51" max="51" width="3.7109375" style="276" customWidth="1"/>
    <col min="52" max="52" width="5.7109375" style="456" customWidth="1"/>
    <col min="53" max="53" width="5.7109375" style="277" customWidth="1"/>
    <col min="54" max="54" width="3.7109375" style="277" customWidth="1"/>
    <col min="55" max="16384" width="9.140625" style="277" customWidth="1"/>
  </cols>
  <sheetData>
    <row r="1" spans="1:52" s="274" customFormat="1" ht="61.5" customHeight="1">
      <c r="A1" s="273"/>
      <c r="B1" s="273"/>
      <c r="C1" s="274" t="s">
        <v>120</v>
      </c>
      <c r="D1" s="274" t="s">
        <v>121</v>
      </c>
      <c r="E1" s="274" t="s">
        <v>122</v>
      </c>
      <c r="F1" s="274" t="s">
        <v>123</v>
      </c>
      <c r="G1" s="274" t="s">
        <v>124</v>
      </c>
      <c r="H1" s="274" t="s">
        <v>125</v>
      </c>
      <c r="I1" s="274" t="s">
        <v>126</v>
      </c>
      <c r="J1" s="274" t="s">
        <v>127</v>
      </c>
      <c r="K1" s="274" t="s">
        <v>128</v>
      </c>
      <c r="L1" s="274" t="s">
        <v>129</v>
      </c>
      <c r="M1" s="274" t="s">
        <v>130</v>
      </c>
      <c r="N1" s="274" t="s">
        <v>131</v>
      </c>
      <c r="O1" s="274" t="s">
        <v>132</v>
      </c>
      <c r="P1" s="274" t="s">
        <v>133</v>
      </c>
      <c r="Q1" s="274" t="s">
        <v>134</v>
      </c>
      <c r="R1" s="274" t="s">
        <v>135</v>
      </c>
      <c r="S1" s="274" t="s">
        <v>136</v>
      </c>
      <c r="T1" s="274" t="s">
        <v>137</v>
      </c>
      <c r="U1" s="274" t="s">
        <v>243</v>
      </c>
      <c r="V1" s="274" t="s">
        <v>138</v>
      </c>
      <c r="W1" s="274" t="s">
        <v>139</v>
      </c>
      <c r="X1" s="274" t="s">
        <v>140</v>
      </c>
      <c r="Y1" s="274" t="s">
        <v>141</v>
      </c>
      <c r="Z1" s="274" t="s">
        <v>142</v>
      </c>
      <c r="AA1" s="274" t="s">
        <v>272</v>
      </c>
      <c r="AB1" s="274" t="s">
        <v>143</v>
      </c>
      <c r="AC1" s="274" t="s">
        <v>144</v>
      </c>
      <c r="AD1" s="274" t="s">
        <v>145</v>
      </c>
      <c r="AE1" s="274" t="s">
        <v>146</v>
      </c>
      <c r="AF1" s="274" t="s">
        <v>147</v>
      </c>
      <c r="AG1" s="274" t="s">
        <v>148</v>
      </c>
      <c r="AH1" s="274" t="s">
        <v>149</v>
      </c>
      <c r="AI1" s="274" t="s">
        <v>160</v>
      </c>
      <c r="AJ1" s="274" t="s">
        <v>150</v>
      </c>
      <c r="AK1" s="275" t="s">
        <v>151</v>
      </c>
      <c r="AL1" s="274" t="s">
        <v>152</v>
      </c>
      <c r="AM1" s="274" t="s">
        <v>153</v>
      </c>
      <c r="AN1" s="274" t="s">
        <v>154</v>
      </c>
      <c r="AO1" s="274" t="s">
        <v>155</v>
      </c>
      <c r="AP1" s="274" t="s">
        <v>156</v>
      </c>
      <c r="AQ1" s="274" t="s">
        <v>157</v>
      </c>
      <c r="AR1" s="274" t="s">
        <v>158</v>
      </c>
      <c r="AS1" s="274" t="s">
        <v>160</v>
      </c>
      <c r="AT1" s="451" t="s">
        <v>327</v>
      </c>
      <c r="AU1" s="274" t="s">
        <v>328</v>
      </c>
      <c r="AV1" s="452" t="s">
        <v>329</v>
      </c>
      <c r="AW1" s="274" t="s">
        <v>250</v>
      </c>
      <c r="AX1" s="274" t="s">
        <v>159</v>
      </c>
      <c r="AY1" s="273"/>
      <c r="AZ1" s="453"/>
    </row>
    <row r="3" spans="1:51" ht="11.25">
      <c r="A3" s="276">
        <v>1</v>
      </c>
      <c r="B3" s="276" t="s">
        <v>96</v>
      </c>
      <c r="C3" s="280"/>
      <c r="D3" s="280"/>
      <c r="E3" s="280">
        <f>'[1]faktímab'!EK6</f>
        <v>6.2</v>
      </c>
      <c r="F3" s="280"/>
      <c r="G3" s="280"/>
      <c r="H3" s="280"/>
      <c r="I3" s="280"/>
      <c r="J3" s="280"/>
      <c r="K3" s="280"/>
      <c r="L3" s="280"/>
      <c r="M3" s="280">
        <f>'[1]faktímab'!AH16+'[1]faktímab'!CW16</f>
        <v>12.998000000000001</v>
      </c>
      <c r="N3" s="281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457">
        <f>SUM(C3:AS3)</f>
        <v>19.198</v>
      </c>
      <c r="AU3" s="457">
        <v>21.6</v>
      </c>
      <c r="AV3" s="458">
        <f>AU3-AT3</f>
        <v>2.402000000000001</v>
      </c>
      <c r="AW3" s="280">
        <v>3.987</v>
      </c>
      <c r="AX3" s="291">
        <f>SUM(AT3+AW3)</f>
        <v>23.185000000000002</v>
      </c>
      <c r="AY3" s="276" t="str">
        <f>B3</f>
        <v>AE</v>
      </c>
    </row>
    <row r="4" spans="1:51" ht="11.25">
      <c r="A4" s="276">
        <f>A3+1</f>
        <v>2</v>
      </c>
      <c r="B4" s="276" t="s">
        <v>119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  <c r="O4" s="280"/>
      <c r="P4" s="280"/>
      <c r="Q4" s="280"/>
      <c r="R4" s="280"/>
      <c r="S4" s="280"/>
      <c r="T4" s="280"/>
      <c r="U4" s="280"/>
      <c r="V4" s="280"/>
      <c r="W4" s="280"/>
      <c r="X4" s="280">
        <f>'[1]faktímab'!BN29</f>
        <v>4</v>
      </c>
      <c r="Y4" s="280"/>
      <c r="Z4" s="280"/>
      <c r="AA4" s="280"/>
      <c r="AB4" s="280"/>
      <c r="AC4" s="280">
        <f>'[1]faktímab'!D35+'[1]faktímab'!N35+'[1]faktímab'!R35+'[1]faktímab'!AJ35+'[1]faktímab'!EM35</f>
        <v>16.226</v>
      </c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>
        <v>2</v>
      </c>
      <c r="AQ4" s="280"/>
      <c r="AR4" s="280"/>
      <c r="AS4" s="280"/>
      <c r="AT4" s="457">
        <f aca="true" t="shared" si="0" ref="AT4:AT68">SUM(C4:AS4)</f>
        <v>22.226</v>
      </c>
      <c r="AU4" s="457">
        <v>21.6</v>
      </c>
      <c r="AV4" s="458">
        <f aca="true" t="shared" si="1" ref="AV4:AV67">AU4-AT4</f>
        <v>-0.6259999999999977</v>
      </c>
      <c r="AW4" s="280">
        <v>0</v>
      </c>
      <c r="AX4" s="291">
        <f aca="true" t="shared" si="2" ref="AX4:AX67">SUM(AT4+AW4)</f>
        <v>22.226</v>
      </c>
      <c r="AY4" s="276" t="str">
        <f aca="true" t="shared" si="3" ref="AY4:AY68">B4</f>
        <v>AF</v>
      </c>
    </row>
    <row r="5" spans="1:51" ht="11.25">
      <c r="A5" s="276">
        <f aca="true" t="shared" si="4" ref="A5:A68">A4+1</f>
        <v>3</v>
      </c>
      <c r="B5" s="276" t="s">
        <v>249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>
        <f>'[1]faktímab'!B35+'[1]faktímab'!AT35+'[1]faktímab'!CU35+'[1]faktímab'!EK35</f>
        <v>14.352999999999998</v>
      </c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457">
        <f t="shared" si="0"/>
        <v>14.352999999999998</v>
      </c>
      <c r="AU5" s="457">
        <v>20.6</v>
      </c>
      <c r="AV5" s="458">
        <f t="shared" si="1"/>
        <v>6.247000000000003</v>
      </c>
      <c r="AW5" s="280"/>
      <c r="AX5" s="291">
        <f t="shared" si="2"/>
        <v>14.352999999999998</v>
      </c>
      <c r="AY5" s="276" t="str">
        <f t="shared" si="3"/>
        <v>AM</v>
      </c>
    </row>
    <row r="6" spans="1:51" ht="11.25">
      <c r="A6" s="276">
        <f t="shared" si="4"/>
        <v>4</v>
      </c>
      <c r="B6" s="276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  <c r="O6" s="280"/>
      <c r="P6" s="280"/>
      <c r="Q6" s="280"/>
      <c r="R6" s="280"/>
      <c r="S6" s="280"/>
      <c r="T6" s="280"/>
      <c r="U6" s="280"/>
      <c r="V6" s="280"/>
      <c r="W6" s="280">
        <f>'[1]faktímab'!AJ28+'[1]faktímab'!EO28</f>
        <v>9</v>
      </c>
      <c r="X6" s="280"/>
      <c r="Y6" s="280"/>
      <c r="Z6" s="280"/>
      <c r="AA6" s="280"/>
      <c r="AB6" s="280"/>
      <c r="AC6" s="280"/>
      <c r="AD6" s="280"/>
      <c r="AE6" s="280"/>
      <c r="AF6" s="280">
        <f>'[1]faktímab'!AH39+'[1]faktímab'!AL39</f>
        <v>12.3</v>
      </c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457">
        <f t="shared" si="0"/>
        <v>21.3</v>
      </c>
      <c r="AU6" s="457">
        <v>18.6</v>
      </c>
      <c r="AV6" s="458">
        <f t="shared" si="1"/>
        <v>-2.6999999999999993</v>
      </c>
      <c r="AW6" s="280"/>
      <c r="AX6" s="291">
        <f t="shared" si="2"/>
        <v>21.3</v>
      </c>
      <c r="AY6" s="276" t="str">
        <f t="shared" si="3"/>
        <v>AN</v>
      </c>
    </row>
    <row r="7" spans="1:51" ht="11.25">
      <c r="A7" s="276">
        <f t="shared" si="4"/>
        <v>5</v>
      </c>
      <c r="B7" s="276" t="s">
        <v>278</v>
      </c>
      <c r="C7" s="280"/>
      <c r="D7" s="280"/>
      <c r="E7" s="280"/>
      <c r="F7" s="280">
        <f>'[1]faktímab'!AJ7</f>
        <v>5.428</v>
      </c>
      <c r="G7" s="280"/>
      <c r="H7" s="280"/>
      <c r="I7" s="280"/>
      <c r="J7" s="280"/>
      <c r="K7" s="280">
        <f>'[1]faktímab'!CB14</f>
        <v>4</v>
      </c>
      <c r="L7" s="280"/>
      <c r="M7" s="280"/>
      <c r="N7" s="281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>
        <f>'[1]faktímab'!CQ35+'[1]faktímab'!CW35</f>
        <v>8</v>
      </c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457">
        <f t="shared" si="0"/>
        <v>17.428</v>
      </c>
      <c r="AU7" s="457">
        <v>18.6</v>
      </c>
      <c r="AV7" s="458">
        <f t="shared" si="1"/>
        <v>1.1720000000000006</v>
      </c>
      <c r="AW7" s="280"/>
      <c r="AX7" s="291">
        <f t="shared" si="2"/>
        <v>17.428</v>
      </c>
      <c r="AY7" s="276" t="str">
        <f t="shared" si="3"/>
        <v>AS</v>
      </c>
    </row>
    <row r="8" spans="1:51" ht="11.25">
      <c r="A8" s="276">
        <f t="shared" si="4"/>
        <v>6</v>
      </c>
      <c r="B8" s="335" t="s">
        <v>286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1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457">
        <f t="shared" si="0"/>
        <v>0</v>
      </c>
      <c r="AU8" s="457">
        <v>21.6</v>
      </c>
      <c r="AV8" s="458">
        <f t="shared" si="1"/>
        <v>21.6</v>
      </c>
      <c r="AW8" s="280"/>
      <c r="AX8" s="291">
        <f t="shared" si="2"/>
        <v>0</v>
      </c>
      <c r="AY8" s="335" t="str">
        <f t="shared" si="3"/>
        <v>BG</v>
      </c>
    </row>
    <row r="9" spans="1:51" ht="11.25">
      <c r="A9" s="276">
        <f t="shared" si="4"/>
        <v>7</v>
      </c>
      <c r="B9" s="276" t="s">
        <v>218</v>
      </c>
      <c r="C9" s="280"/>
      <c r="D9" s="280"/>
      <c r="E9" s="280">
        <f>'[1]faktímab'!CW6+'[1]faktímab'!AP6</f>
        <v>10.698</v>
      </c>
      <c r="F9" s="280"/>
      <c r="G9" s="280"/>
      <c r="H9" s="280"/>
      <c r="I9" s="280"/>
      <c r="J9" s="280"/>
      <c r="K9" s="280"/>
      <c r="L9" s="280"/>
      <c r="M9" s="280"/>
      <c r="N9" s="281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>
        <f>'[1]faktímab'!CY35+'[1]faktímab'!F35+'[1]faktímab'!P35</f>
        <v>10</v>
      </c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457">
        <f t="shared" si="0"/>
        <v>20.698</v>
      </c>
      <c r="AU9" s="457">
        <v>21.6</v>
      </c>
      <c r="AV9" s="458">
        <f t="shared" si="1"/>
        <v>0.902000000000001</v>
      </c>
      <c r="AW9" s="280">
        <v>2</v>
      </c>
      <c r="AX9" s="291">
        <f t="shared" si="2"/>
        <v>22.698</v>
      </c>
      <c r="AY9" s="276" t="str">
        <f t="shared" si="3"/>
        <v>BH</v>
      </c>
    </row>
    <row r="10" spans="1:51" ht="11.25">
      <c r="A10" s="276">
        <f t="shared" si="4"/>
        <v>8</v>
      </c>
      <c r="B10" s="364" t="s">
        <v>288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>
        <f>'[1]faktímab'!CM16</f>
        <v>7.737</v>
      </c>
      <c r="N10" s="281"/>
      <c r="O10" s="280"/>
      <c r="P10" s="280"/>
      <c r="Q10" s="280"/>
      <c r="R10" s="280">
        <f>'[1]faktímab'!D22</f>
        <v>3</v>
      </c>
      <c r="S10" s="280"/>
      <c r="T10" s="280"/>
      <c r="U10" s="280"/>
      <c r="V10" s="280"/>
      <c r="W10" s="280"/>
      <c r="X10" s="280"/>
      <c r="Y10" s="280"/>
      <c r="Z10" s="280">
        <f>'[1]faktímab'!D31</f>
        <v>4.5</v>
      </c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457">
        <f t="shared" si="0"/>
        <v>15.237</v>
      </c>
      <c r="AU10" s="457">
        <v>21.6</v>
      </c>
      <c r="AV10" s="458">
        <f t="shared" si="1"/>
        <v>6.363000000000001</v>
      </c>
      <c r="AW10" s="280"/>
      <c r="AX10" s="291">
        <f t="shared" si="2"/>
        <v>15.237</v>
      </c>
      <c r="AY10" s="276" t="str">
        <f t="shared" si="3"/>
        <v>BI</v>
      </c>
    </row>
    <row r="11" spans="1:51" ht="11.25">
      <c r="A11" s="276">
        <f>A10</f>
        <v>8</v>
      </c>
      <c r="B11" s="364" t="s">
        <v>265</v>
      </c>
      <c r="C11" s="280"/>
      <c r="D11" s="280"/>
      <c r="E11" s="280"/>
      <c r="F11" s="280"/>
      <c r="G11" s="280">
        <f>'[1]faktímab'!L10+'[1]faktímab'!BF10</f>
        <v>11.728000000000002</v>
      </c>
      <c r="H11" s="280"/>
      <c r="I11" s="280"/>
      <c r="J11" s="280"/>
      <c r="K11" s="280"/>
      <c r="L11" s="280"/>
      <c r="M11" s="280"/>
      <c r="N11" s="281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>
        <v>14.275</v>
      </c>
      <c r="AL11" s="280"/>
      <c r="AM11" s="280"/>
      <c r="AN11" s="280"/>
      <c r="AO11" s="280"/>
      <c r="AP11" s="288"/>
      <c r="AQ11" s="280"/>
      <c r="AR11" s="280"/>
      <c r="AS11" s="280"/>
      <c r="AT11" s="457">
        <f t="shared" si="0"/>
        <v>26.003</v>
      </c>
      <c r="AU11" s="457">
        <v>21.6</v>
      </c>
      <c r="AV11" s="458">
        <f t="shared" si="1"/>
        <v>-4.402999999999999</v>
      </c>
      <c r="AW11" s="280"/>
      <c r="AX11" s="291">
        <f t="shared" si="2"/>
        <v>26.003</v>
      </c>
      <c r="AY11" s="276" t="str">
        <f t="shared" si="3"/>
        <v>BJ</v>
      </c>
    </row>
    <row r="12" spans="1:51" ht="11.25">
      <c r="A12" s="276">
        <f t="shared" si="4"/>
        <v>9</v>
      </c>
      <c r="B12" s="364" t="s">
        <v>303</v>
      </c>
      <c r="C12" s="280"/>
      <c r="D12" s="280"/>
      <c r="E12" s="280"/>
      <c r="F12" s="280"/>
      <c r="G12" s="280"/>
      <c r="H12" s="280"/>
      <c r="I12" s="280"/>
      <c r="J12" s="280">
        <v>2.5</v>
      </c>
      <c r="K12" s="280"/>
      <c r="L12" s="280"/>
      <c r="M12" s="280"/>
      <c r="N12" s="281">
        <f>'[1]faktímab'!AR17+'[1]faktímab'!EU17+'[1]faktímab'!EW17</f>
        <v>10.5</v>
      </c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>
        <f>'[1]faktímab'!DV30+'[1]faktímab'!EQ30</f>
        <v>9.876000000000001</v>
      </c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457">
        <f t="shared" si="0"/>
        <v>22.876</v>
      </c>
      <c r="AU12" s="457">
        <v>21.6</v>
      </c>
      <c r="AV12" s="458">
        <f t="shared" si="1"/>
        <v>-1.2759999999999998</v>
      </c>
      <c r="AW12" s="280"/>
      <c r="AX12" s="291">
        <f t="shared" si="2"/>
        <v>22.876</v>
      </c>
      <c r="AY12" s="364" t="str">
        <f t="shared" si="3"/>
        <v>BP</v>
      </c>
    </row>
    <row r="13" spans="1:51" ht="11.25">
      <c r="A13" s="276">
        <f t="shared" si="4"/>
        <v>10</v>
      </c>
      <c r="B13" s="276" t="s">
        <v>114</v>
      </c>
      <c r="C13" s="280"/>
      <c r="D13" s="280"/>
      <c r="E13" s="280">
        <f>'[1]faktímab'!CO6+'[1]faktímab'!CU6</f>
        <v>10.98</v>
      </c>
      <c r="F13" s="280"/>
      <c r="G13" s="280"/>
      <c r="H13" s="280"/>
      <c r="I13" s="280"/>
      <c r="J13" s="280"/>
      <c r="K13" s="280"/>
      <c r="L13" s="280"/>
      <c r="M13" s="280"/>
      <c r="N13" s="281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>
        <f>'[1]faktímab'!F42+'[1]faktímab'!L42+'[1]faktímab'!AL42+'[1]faktímab'!AP42+'[1]faktímab'!CO42+'[1]faktímab'!CU42+'[1]faktímab'!EW42</f>
        <v>10.7</v>
      </c>
      <c r="AO13" s="280"/>
      <c r="AP13" s="280"/>
      <c r="AQ13" s="280"/>
      <c r="AR13" s="280"/>
      <c r="AS13" s="280"/>
      <c r="AT13" s="457">
        <f t="shared" si="0"/>
        <v>21.68</v>
      </c>
      <c r="AU13" s="457">
        <v>21.6</v>
      </c>
      <c r="AV13" s="458">
        <f t="shared" si="1"/>
        <v>-0.0799999999999983</v>
      </c>
      <c r="AW13" s="280"/>
      <c r="AX13" s="291">
        <f t="shared" si="2"/>
        <v>21.68</v>
      </c>
      <c r="AY13" s="276" t="str">
        <f t="shared" si="3"/>
        <v>BR</v>
      </c>
    </row>
    <row r="14" spans="1:51" ht="11.25">
      <c r="A14" s="276">
        <f t="shared" si="4"/>
        <v>11</v>
      </c>
      <c r="B14" s="276" t="s">
        <v>99</v>
      </c>
      <c r="C14" s="280"/>
      <c r="D14" s="280"/>
      <c r="E14" s="280"/>
      <c r="F14" s="280">
        <f>'[1]faktímab'!DL7</f>
        <v>7.144</v>
      </c>
      <c r="G14" s="280"/>
      <c r="H14" s="280"/>
      <c r="I14" s="280"/>
      <c r="J14" s="280"/>
      <c r="K14" s="280"/>
      <c r="L14" s="280"/>
      <c r="M14" s="280">
        <f>'[1]faktímab'!AF16</f>
        <v>5.023</v>
      </c>
      <c r="N14" s="281"/>
      <c r="O14" s="280"/>
      <c r="P14" s="280"/>
      <c r="Q14" s="280"/>
      <c r="R14" s="280"/>
      <c r="S14" s="280"/>
      <c r="T14" s="282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>
        <v>6.5</v>
      </c>
      <c r="AN14" s="280"/>
      <c r="AO14" s="280">
        <v>1</v>
      </c>
      <c r="AP14" s="280"/>
      <c r="AQ14" s="280"/>
      <c r="AR14" s="280"/>
      <c r="AS14" s="280"/>
      <c r="AT14" s="457">
        <f t="shared" si="0"/>
        <v>19.667</v>
      </c>
      <c r="AU14" s="457">
        <v>20.6</v>
      </c>
      <c r="AV14" s="458">
        <f t="shared" si="1"/>
        <v>0.9329999999999998</v>
      </c>
      <c r="AW14" s="280">
        <v>2.9</v>
      </c>
      <c r="AX14" s="291">
        <f t="shared" si="2"/>
        <v>22.567</v>
      </c>
      <c r="AY14" s="276" t="str">
        <f t="shared" si="3"/>
        <v>BS</v>
      </c>
    </row>
    <row r="15" spans="1:51" ht="11.25">
      <c r="A15" s="276">
        <f t="shared" si="4"/>
        <v>12</v>
      </c>
      <c r="B15" s="276" t="s">
        <v>100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>
        <f>'[1]faktímab'!BR30+'[1]faktímab'!DT30</f>
        <v>11.01</v>
      </c>
      <c r="Z15" s="280"/>
      <c r="AA15" s="280"/>
      <c r="AB15" s="280"/>
      <c r="AC15" s="280">
        <f>'[1]faktímab'!L35+'[1]faktímab'!AH35+'[1]faktímab'!EU35</f>
        <v>9.725999999999999</v>
      </c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457">
        <f t="shared" si="0"/>
        <v>20.735999999999997</v>
      </c>
      <c r="AU15" s="457">
        <v>21.6</v>
      </c>
      <c r="AV15" s="458">
        <f t="shared" si="1"/>
        <v>0.8640000000000043</v>
      </c>
      <c r="AW15" s="280"/>
      <c r="AX15" s="291">
        <f t="shared" si="2"/>
        <v>20.735999999999997</v>
      </c>
      <c r="AY15" s="276" t="str">
        <f t="shared" si="3"/>
        <v>CI</v>
      </c>
    </row>
    <row r="16" spans="1:51" ht="11.25">
      <c r="A16" s="276">
        <f t="shared" si="4"/>
        <v>13</v>
      </c>
      <c r="B16" s="335" t="s">
        <v>244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1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>
        <f>'[1]faktímab'!DJ34+'[1]faktímab'!BH34+'[1]faktímab'!EM33</f>
        <v>20.733</v>
      </c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8"/>
      <c r="AQ16" s="280"/>
      <c r="AR16" s="279"/>
      <c r="AS16" s="280"/>
      <c r="AT16" s="457">
        <f t="shared" si="0"/>
        <v>20.733</v>
      </c>
      <c r="AU16" s="457"/>
      <c r="AV16" s="458">
        <f t="shared" si="1"/>
        <v>-20.733</v>
      </c>
      <c r="AW16" s="280"/>
      <c r="AX16" s="291">
        <f t="shared" si="2"/>
        <v>20.733</v>
      </c>
      <c r="AY16" s="335" t="str">
        <f t="shared" si="3"/>
        <v>DA</v>
      </c>
    </row>
    <row r="17" spans="1:51" ht="11.25">
      <c r="A17" s="276">
        <f t="shared" si="4"/>
        <v>14</v>
      </c>
      <c r="B17" s="364" t="s">
        <v>290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>
        <f>'[1]faktímab'!AL17+'[1]faktímab'!AT17+'[1]faktímab'!AV17</f>
        <v>10.5</v>
      </c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>
        <f>'[1]faktímab'!BJ30</f>
        <v>6.8</v>
      </c>
      <c r="Z17" s="280"/>
      <c r="AA17" s="280"/>
      <c r="AB17" s="280"/>
      <c r="AC17" s="280"/>
      <c r="AD17" s="280"/>
      <c r="AE17" s="280"/>
      <c r="AF17" s="280"/>
      <c r="AG17" s="280"/>
      <c r="AH17" s="280">
        <f>'[1]faktímab'!BZ41</f>
        <v>4.5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79"/>
      <c r="AS17" s="280"/>
      <c r="AT17" s="457">
        <f t="shared" si="0"/>
        <v>21.8</v>
      </c>
      <c r="AU17" s="457">
        <v>21.6</v>
      </c>
      <c r="AV17" s="458">
        <f t="shared" si="1"/>
        <v>-0.1999999999999993</v>
      </c>
      <c r="AW17" s="280"/>
      <c r="AX17" s="291">
        <f t="shared" si="2"/>
        <v>21.8</v>
      </c>
      <c r="AY17" s="276" t="str">
        <f t="shared" si="3"/>
        <v>EA</v>
      </c>
    </row>
    <row r="18" spans="1:51" ht="11.25">
      <c r="A18" s="276">
        <f t="shared" si="4"/>
        <v>15</v>
      </c>
      <c r="B18" s="335" t="s">
        <v>267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0"/>
      <c r="P18" s="280"/>
      <c r="Q18" s="280">
        <f>2+2</f>
        <v>4</v>
      </c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457">
        <f t="shared" si="0"/>
        <v>4</v>
      </c>
      <c r="AU18" s="457"/>
      <c r="AV18" s="458">
        <f t="shared" si="1"/>
        <v>-4</v>
      </c>
      <c r="AW18" s="280"/>
      <c r="AX18" s="291">
        <f t="shared" si="2"/>
        <v>4</v>
      </c>
      <c r="AY18" s="335" t="str">
        <f t="shared" si="3"/>
        <v>EB</v>
      </c>
    </row>
    <row r="19" spans="1:51" ht="11.25">
      <c r="A19" s="276">
        <f>A18+1</f>
        <v>16</v>
      </c>
      <c r="B19" s="276" t="s">
        <v>116</v>
      </c>
      <c r="C19" s="280"/>
      <c r="D19" s="280"/>
      <c r="E19" s="280"/>
      <c r="F19" s="280">
        <f>'[1]faktímab'!B7+'[1]faktímab'!L8</f>
        <v>12.058</v>
      </c>
      <c r="G19" s="280"/>
      <c r="H19" s="280"/>
      <c r="I19" s="280"/>
      <c r="J19" s="280"/>
      <c r="K19" s="280"/>
      <c r="L19" s="280"/>
      <c r="M19" s="280"/>
      <c r="N19" s="281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>
        <f>'[1]faktímab'!B42+'[1]faktímab'!P42+'[1]faktímab'!AH42+'[1]faktímab'!AT42+'[1]faktímab'!CK42+'[1]faktímab'!CY42+'[1]faktímab'!EM42</f>
        <v>9.4</v>
      </c>
      <c r="AO19" s="280"/>
      <c r="AP19" s="280"/>
      <c r="AQ19" s="280"/>
      <c r="AR19" s="280"/>
      <c r="AS19" s="280"/>
      <c r="AT19" s="457">
        <f t="shared" si="0"/>
        <v>21.458</v>
      </c>
      <c r="AU19" s="457">
        <v>21.6</v>
      </c>
      <c r="AV19" s="458">
        <f t="shared" si="1"/>
        <v>0.142000000000003</v>
      </c>
      <c r="AW19" s="280"/>
      <c r="AX19" s="291">
        <f t="shared" si="2"/>
        <v>21.458</v>
      </c>
      <c r="AY19" s="276" t="str">
        <f t="shared" si="3"/>
        <v>EH</v>
      </c>
    </row>
    <row r="20" spans="1:51" ht="11.25">
      <c r="A20" s="276">
        <f t="shared" si="4"/>
        <v>17</v>
      </c>
      <c r="B20" s="335" t="s">
        <v>273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>
        <f>'[1]faktímab'!CY16+'[1]faktímab'!L16+'[1]faktímab'!P16</f>
        <v>22.08</v>
      </c>
      <c r="N20" s="281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457">
        <f t="shared" si="0"/>
        <v>22.08</v>
      </c>
      <c r="AU20" s="457"/>
      <c r="AV20" s="458">
        <f t="shared" si="1"/>
        <v>-22.08</v>
      </c>
      <c r="AW20" s="280"/>
      <c r="AX20" s="291">
        <f t="shared" si="2"/>
        <v>22.08</v>
      </c>
      <c r="AY20" s="335" t="str">
        <f t="shared" si="3"/>
        <v>EI</v>
      </c>
    </row>
    <row r="21" spans="1:51" ht="11.25">
      <c r="A21" s="276">
        <f t="shared" si="4"/>
        <v>18</v>
      </c>
      <c r="B21" s="276" t="s">
        <v>90</v>
      </c>
      <c r="C21" s="280"/>
      <c r="D21" s="280"/>
      <c r="E21" s="280"/>
      <c r="F21" s="280">
        <f>'[1]faktímab'!AV8+'[1]faktímab'!EK7+'[1]faktímab'!EU7</f>
        <v>17.835</v>
      </c>
      <c r="G21" s="280"/>
      <c r="H21" s="280"/>
      <c r="I21" s="280"/>
      <c r="J21" s="280"/>
      <c r="K21" s="280"/>
      <c r="L21" s="280"/>
      <c r="M21" s="280"/>
      <c r="N21" s="281"/>
      <c r="O21" s="280"/>
      <c r="P21" s="280"/>
      <c r="Q21" s="280">
        <f>2+2+2</f>
        <v>6</v>
      </c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457">
        <f t="shared" si="0"/>
        <v>23.835</v>
      </c>
      <c r="AU21" s="457">
        <v>21.6</v>
      </c>
      <c r="AV21" s="458">
        <f t="shared" si="1"/>
        <v>-2.2349999999999994</v>
      </c>
      <c r="AW21" s="280"/>
      <c r="AX21" s="291">
        <f t="shared" si="2"/>
        <v>23.835</v>
      </c>
      <c r="AY21" s="276" t="str">
        <f t="shared" si="3"/>
        <v>EJ</v>
      </c>
    </row>
    <row r="22" spans="1:51" ht="11.25">
      <c r="A22" s="276">
        <f t="shared" si="4"/>
        <v>19</v>
      </c>
      <c r="B22" s="276" t="s">
        <v>101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1"/>
      <c r="O22" s="280"/>
      <c r="P22" s="280"/>
      <c r="Q22" s="280"/>
      <c r="R22" s="280"/>
      <c r="S22" s="280"/>
      <c r="T22" s="280">
        <f>'[1]faktímab'!BN25</f>
        <v>8</v>
      </c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457">
        <f t="shared" si="0"/>
        <v>8</v>
      </c>
      <c r="AU22" s="457">
        <v>20.6</v>
      </c>
      <c r="AV22" s="458">
        <f t="shared" si="1"/>
        <v>12.600000000000001</v>
      </c>
      <c r="AW22" s="280"/>
      <c r="AX22" s="291">
        <f t="shared" si="2"/>
        <v>8</v>
      </c>
      <c r="AY22" s="276" t="str">
        <f t="shared" si="3"/>
        <v>FL</v>
      </c>
    </row>
    <row r="23" spans="1:51" ht="11.25">
      <c r="A23" s="276">
        <f t="shared" si="4"/>
        <v>20</v>
      </c>
      <c r="B23" s="364" t="s">
        <v>287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>
        <f>'[1]faktímab'!B16+'[1]faktímab'!AP16+'[1]faktímab'!EM16</f>
        <v>19.811</v>
      </c>
      <c r="N23" s="281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457">
        <f t="shared" si="0"/>
        <v>19.811</v>
      </c>
      <c r="AU23" s="457">
        <v>21.6</v>
      </c>
      <c r="AV23" s="458">
        <f t="shared" si="1"/>
        <v>1.7890000000000015</v>
      </c>
      <c r="AW23" s="280"/>
      <c r="AX23" s="291">
        <f t="shared" si="2"/>
        <v>19.811</v>
      </c>
      <c r="AY23" s="276" t="str">
        <f t="shared" si="3"/>
        <v>GG</v>
      </c>
    </row>
    <row r="24" spans="1:51" ht="11.25">
      <c r="A24" s="276">
        <f t="shared" si="4"/>
        <v>21</v>
      </c>
      <c r="B24" s="419" t="s">
        <v>87</v>
      </c>
      <c r="C24" s="280"/>
      <c r="D24" s="280"/>
      <c r="E24" s="280">
        <f>'[1]faktímab'!EU6+'[1]faktímab'!AL6</f>
        <v>11.249</v>
      </c>
      <c r="F24" s="280"/>
      <c r="G24" s="280"/>
      <c r="H24" s="280"/>
      <c r="I24" s="280"/>
      <c r="J24" s="280"/>
      <c r="K24" s="280"/>
      <c r="L24" s="280"/>
      <c r="M24" s="280"/>
      <c r="N24" s="281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>
        <f>'[1]faktímab'!DZ39+'[1]faktímab'!EQ39</f>
        <v>11.108</v>
      </c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457">
        <f t="shared" si="0"/>
        <v>22.357</v>
      </c>
      <c r="AU24" s="457">
        <v>21.6</v>
      </c>
      <c r="AV24" s="458">
        <f t="shared" si="1"/>
        <v>-0.7569999999999979</v>
      </c>
      <c r="AW24" s="280"/>
      <c r="AX24" s="291">
        <f t="shared" si="2"/>
        <v>22.357</v>
      </c>
      <c r="AY24" s="335" t="str">
        <f t="shared" si="3"/>
        <v>GP</v>
      </c>
    </row>
    <row r="25" spans="1:51" ht="11.25">
      <c r="A25" s="276">
        <f t="shared" si="4"/>
        <v>22</v>
      </c>
      <c r="B25" s="459" t="s">
        <v>302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457">
        <f t="shared" si="0"/>
        <v>0</v>
      </c>
      <c r="AU25" s="457"/>
      <c r="AV25" s="458">
        <f t="shared" si="1"/>
        <v>0</v>
      </c>
      <c r="AW25" s="280"/>
      <c r="AX25" s="291">
        <f t="shared" si="2"/>
        <v>0</v>
      </c>
      <c r="AY25" s="335" t="str">
        <f t="shared" si="3"/>
        <v>GR</v>
      </c>
    </row>
    <row r="26" spans="1:51" ht="11.25">
      <c r="A26" s="276">
        <f t="shared" si="4"/>
        <v>23</v>
      </c>
      <c r="B26" s="459" t="s">
        <v>253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1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457">
        <f t="shared" si="0"/>
        <v>0</v>
      </c>
      <c r="AU26" s="457"/>
      <c r="AV26" s="458">
        <f t="shared" si="1"/>
        <v>0</v>
      </c>
      <c r="AW26" s="280"/>
      <c r="AX26" s="291">
        <f t="shared" si="2"/>
        <v>0</v>
      </c>
      <c r="AY26" s="335" t="str">
        <f t="shared" si="3"/>
        <v>HK</v>
      </c>
    </row>
    <row r="27" spans="1:51" ht="11.25">
      <c r="A27" s="276">
        <f t="shared" si="4"/>
        <v>24</v>
      </c>
      <c r="B27" s="276" t="s">
        <v>102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1"/>
      <c r="O27" s="280"/>
      <c r="P27" s="280"/>
      <c r="Q27" s="280"/>
      <c r="R27" s="280"/>
      <c r="S27" s="280"/>
      <c r="T27" s="280">
        <f>'[1]faktímab'!F25+'[1]faktímab'!N25+'[1]faktímab'!BL25+'[1]faktímab'!EO25</f>
        <v>20.028</v>
      </c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>
        <v>1</v>
      </c>
      <c r="AP27" s="280">
        <v>2</v>
      </c>
      <c r="AQ27" s="280"/>
      <c r="AR27" s="279">
        <v>1.5</v>
      </c>
      <c r="AS27" s="280"/>
      <c r="AT27" s="457">
        <f t="shared" si="0"/>
        <v>24.528</v>
      </c>
      <c r="AU27" s="457">
        <v>20.6</v>
      </c>
      <c r="AV27" s="458">
        <f t="shared" si="1"/>
        <v>-3.9279999999999973</v>
      </c>
      <c r="AW27" s="280"/>
      <c r="AX27" s="291">
        <f t="shared" si="2"/>
        <v>24.528</v>
      </c>
      <c r="AY27" s="276" t="str">
        <f t="shared" si="3"/>
        <v>HE</v>
      </c>
    </row>
    <row r="28" spans="1:51" ht="11.25">
      <c r="A28" s="276">
        <f t="shared" si="4"/>
        <v>25</v>
      </c>
      <c r="B28" s="276" t="s">
        <v>103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1">
        <f>'[1]faktímab'!AF17+'[1]faktímab'!AH17</f>
        <v>7</v>
      </c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79">
        <v>1.5</v>
      </c>
      <c r="AS28" s="280"/>
      <c r="AT28" s="457">
        <f t="shared" si="0"/>
        <v>8.5</v>
      </c>
      <c r="AU28" s="457">
        <v>9.3</v>
      </c>
      <c r="AV28" s="458">
        <f t="shared" si="1"/>
        <v>0.8000000000000007</v>
      </c>
      <c r="AW28" s="280">
        <v>4.252</v>
      </c>
      <c r="AX28" s="291">
        <f t="shared" si="2"/>
        <v>12.751999999999999</v>
      </c>
      <c r="AY28" s="276" t="str">
        <f t="shared" si="3"/>
        <v>HH</v>
      </c>
    </row>
    <row r="29" spans="1:51" ht="11.25">
      <c r="A29" s="276">
        <f t="shared" si="4"/>
        <v>26</v>
      </c>
      <c r="B29" s="335" t="s">
        <v>264</v>
      </c>
      <c r="C29" s="280"/>
      <c r="D29" s="280"/>
      <c r="E29" s="280"/>
      <c r="F29" s="280">
        <f>'[1]faktímab'!AT8+'[1]faktímab'!AR8</f>
        <v>10.1</v>
      </c>
      <c r="G29" s="280"/>
      <c r="H29" s="280"/>
      <c r="I29" s="280"/>
      <c r="J29" s="280"/>
      <c r="K29" s="280"/>
      <c r="L29" s="280"/>
      <c r="M29" s="280"/>
      <c r="N29" s="281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>
        <f>'[1]faktímab'!FA31+'[1]faktímab'!AV31</f>
        <v>9.197</v>
      </c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457">
        <f t="shared" si="0"/>
        <v>19.296999999999997</v>
      </c>
      <c r="AU29" s="457"/>
      <c r="AV29" s="458">
        <f t="shared" si="1"/>
        <v>-19.296999999999997</v>
      </c>
      <c r="AW29" s="280"/>
      <c r="AX29" s="291">
        <f t="shared" si="2"/>
        <v>19.296999999999997</v>
      </c>
      <c r="AY29" s="335" t="str">
        <f t="shared" si="3"/>
        <v>HI</v>
      </c>
    </row>
    <row r="30" spans="1:51" ht="11.25">
      <c r="A30" s="276">
        <f t="shared" si="4"/>
        <v>27</v>
      </c>
      <c r="B30" s="276" t="s">
        <v>104</v>
      </c>
      <c r="C30" s="280"/>
      <c r="D30" s="280"/>
      <c r="E30" s="280">
        <f>'[1]faktímab'!AF6+'[1]faktímab'!EW6</f>
        <v>10.673</v>
      </c>
      <c r="F30" s="280"/>
      <c r="G30" s="280"/>
      <c r="H30" s="280"/>
      <c r="I30" s="280"/>
      <c r="J30" s="280"/>
      <c r="K30" s="280"/>
      <c r="L30" s="280"/>
      <c r="M30" s="280"/>
      <c r="N30" s="281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>
        <v>6.5</v>
      </c>
      <c r="AN30" s="280"/>
      <c r="AO30" s="280"/>
      <c r="AP30" s="280"/>
      <c r="AQ30" s="280"/>
      <c r="AR30" s="280"/>
      <c r="AS30" s="280"/>
      <c r="AT30" s="457">
        <f t="shared" si="0"/>
        <v>17.173000000000002</v>
      </c>
      <c r="AU30" s="457">
        <v>20.6</v>
      </c>
      <c r="AV30" s="458">
        <f t="shared" si="1"/>
        <v>3.4269999999999996</v>
      </c>
      <c r="AW30" s="280"/>
      <c r="AX30" s="291">
        <f t="shared" si="2"/>
        <v>17.173000000000002</v>
      </c>
      <c r="AY30" s="276" t="str">
        <f t="shared" si="3"/>
        <v>HJ</v>
      </c>
    </row>
    <row r="31" spans="1:51" ht="11.25">
      <c r="A31" s="276">
        <f t="shared" si="4"/>
        <v>28</v>
      </c>
      <c r="B31" s="335" t="s">
        <v>291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1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>
        <f>'[1]faktímab'!CM35+'[1]faktímab'!AF35+'[1]faktímab'!AP35+'[1]faktímab'!AV35</f>
        <v>14.979999999999999</v>
      </c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457">
        <f t="shared" si="0"/>
        <v>14.979999999999999</v>
      </c>
      <c r="AU31" s="457"/>
      <c r="AV31" s="458">
        <f t="shared" si="1"/>
        <v>-14.979999999999999</v>
      </c>
      <c r="AW31" s="280"/>
      <c r="AX31" s="291">
        <f t="shared" si="2"/>
        <v>14.979999999999999</v>
      </c>
      <c r="AY31" s="335" t="str">
        <f t="shared" si="3"/>
        <v>HR</v>
      </c>
    </row>
    <row r="32" spans="1:51" ht="11.25">
      <c r="A32" s="276">
        <f t="shared" si="4"/>
        <v>29</v>
      </c>
      <c r="B32" s="364" t="s">
        <v>299</v>
      </c>
      <c r="C32" s="280"/>
      <c r="D32" s="280">
        <f>'[1]faktímab'!AT5</f>
        <v>5.5200000000000005</v>
      </c>
      <c r="E32" s="280"/>
      <c r="F32" s="280"/>
      <c r="G32" s="280"/>
      <c r="H32" s="280"/>
      <c r="I32" s="280"/>
      <c r="J32" s="280"/>
      <c r="K32" s="280"/>
      <c r="L32" s="280"/>
      <c r="M32" s="280"/>
      <c r="N32" s="281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>
        <f>'[1]faktímab'!AR34</f>
        <v>6.428</v>
      </c>
      <c r="AC32" s="280"/>
      <c r="AD32" s="280">
        <f>'[1]faktímab'!BR36</f>
        <v>4.5</v>
      </c>
      <c r="AE32" s="280"/>
      <c r="AF32" s="280"/>
      <c r="AG32" s="280"/>
      <c r="AH32" s="280"/>
      <c r="AI32" s="280"/>
      <c r="AJ32" s="280"/>
      <c r="AK32" s="280">
        <v>2</v>
      </c>
      <c r="AL32" s="280"/>
      <c r="AM32" s="280"/>
      <c r="AN32" s="280"/>
      <c r="AO32" s="280"/>
      <c r="AP32" s="280">
        <v>7</v>
      </c>
      <c r="AQ32" s="280"/>
      <c r="AR32" s="280"/>
      <c r="AS32" s="280"/>
      <c r="AT32" s="457">
        <f t="shared" si="0"/>
        <v>25.448</v>
      </c>
      <c r="AU32" s="457">
        <v>21.6</v>
      </c>
      <c r="AV32" s="458">
        <f t="shared" si="1"/>
        <v>-3.847999999999999</v>
      </c>
      <c r="AW32" s="280"/>
      <c r="AX32" s="291">
        <f t="shared" si="2"/>
        <v>25.448</v>
      </c>
      <c r="AY32" s="364" t="str">
        <f t="shared" si="3"/>
        <v>HØ</v>
      </c>
    </row>
    <row r="33" spans="1:51" ht="11.25">
      <c r="A33" s="276">
        <f t="shared" si="4"/>
        <v>30</v>
      </c>
      <c r="B33" s="276" t="s">
        <v>112</v>
      </c>
      <c r="C33" s="280"/>
      <c r="D33" s="280"/>
      <c r="E33" s="280"/>
      <c r="F33" s="280"/>
      <c r="G33" s="280">
        <f>'[1]faktímab'!P10+'[1]faktímab'!R10</f>
        <v>9.056000000000001</v>
      </c>
      <c r="H33" s="280"/>
      <c r="I33" s="280"/>
      <c r="J33" s="280"/>
      <c r="K33" s="280"/>
      <c r="L33" s="280"/>
      <c r="M33" s="280"/>
      <c r="N33" s="281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>
        <f>'[1]faktímab'!R42+'[1]faktímab'!AJ42+'[1]faktímab'!AR42+'[1]faktímab'!CM42+'[1]faktímab'!CW42+'[1]faktímab'!EU42</f>
        <v>8.7</v>
      </c>
      <c r="AO33" s="280"/>
      <c r="AP33" s="280"/>
      <c r="AQ33" s="280"/>
      <c r="AR33" s="280"/>
      <c r="AS33" s="280"/>
      <c r="AT33" s="457">
        <f t="shared" si="0"/>
        <v>17.756</v>
      </c>
      <c r="AU33" s="457">
        <v>18.6</v>
      </c>
      <c r="AV33" s="458">
        <f t="shared" si="1"/>
        <v>0.8440000000000012</v>
      </c>
      <c r="AW33" s="280">
        <v>1.022</v>
      </c>
      <c r="AX33" s="291">
        <f t="shared" si="2"/>
        <v>18.778</v>
      </c>
      <c r="AY33" s="276" t="str">
        <f t="shared" si="3"/>
        <v>IJ</v>
      </c>
    </row>
    <row r="34" spans="1:51" ht="11.25">
      <c r="A34" s="276">
        <f t="shared" si="4"/>
        <v>31</v>
      </c>
      <c r="B34" s="276" t="s">
        <v>251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1"/>
      <c r="O34" s="280"/>
      <c r="P34" s="280"/>
      <c r="Q34" s="280"/>
      <c r="R34" s="280"/>
      <c r="S34" s="280"/>
      <c r="T34" s="280"/>
      <c r="U34" s="280"/>
      <c r="V34" s="280">
        <f>'[1]faktímab'!CU27+'[1]faktímab'!EU27+'[1]faktímab'!EW27+'[1]faktímab'!CK27+'[1]faktímab'!CY27</f>
        <v>12</v>
      </c>
      <c r="W34" s="280"/>
      <c r="X34" s="280"/>
      <c r="Y34" s="280"/>
      <c r="Z34" s="280"/>
      <c r="AA34" s="280"/>
      <c r="AB34" s="280"/>
      <c r="AC34" s="280"/>
      <c r="AD34" s="280"/>
      <c r="AE34" s="280"/>
      <c r="AF34" s="280">
        <f>'[1]faktímab'!D39+'[1]faktímab'!FA39</f>
        <v>10.075</v>
      </c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457">
        <f t="shared" si="0"/>
        <v>22.075</v>
      </c>
      <c r="AU34" s="457">
        <v>21.6</v>
      </c>
      <c r="AV34" s="458">
        <f t="shared" si="1"/>
        <v>-0.47499999999999787</v>
      </c>
      <c r="AW34" s="280">
        <v>1.826</v>
      </c>
      <c r="AX34" s="291">
        <f t="shared" si="2"/>
        <v>23.901</v>
      </c>
      <c r="AY34" s="276" t="str">
        <f t="shared" si="3"/>
        <v>JC</v>
      </c>
    </row>
    <row r="35" spans="1:51" ht="11.25">
      <c r="A35" s="276">
        <f t="shared" si="4"/>
        <v>32</v>
      </c>
      <c r="B35" s="276" t="s">
        <v>98</v>
      </c>
      <c r="C35" s="280"/>
      <c r="D35" s="280">
        <f>'[1]faktímab'!DH5+'[1]faktímab'!N5</f>
        <v>13.74</v>
      </c>
      <c r="E35" s="280"/>
      <c r="F35" s="280"/>
      <c r="G35" s="280">
        <f>'[1]faktímab'!N10</f>
        <v>4.5280000000000005</v>
      </c>
      <c r="H35" s="280"/>
      <c r="I35" s="280"/>
      <c r="J35" s="280"/>
      <c r="K35" s="280"/>
      <c r="L35" s="280"/>
      <c r="M35" s="280"/>
      <c r="N35" s="281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>
        <v>3</v>
      </c>
      <c r="AL35" s="280">
        <v>3</v>
      </c>
      <c r="AM35" s="280"/>
      <c r="AN35" s="280"/>
      <c r="AO35" s="280"/>
      <c r="AP35" s="280"/>
      <c r="AQ35" s="280"/>
      <c r="AR35" s="280"/>
      <c r="AS35" s="280"/>
      <c r="AT35" s="457">
        <f>SUM(C35:AS35)</f>
        <v>24.268</v>
      </c>
      <c r="AU35" s="457">
        <v>20.6</v>
      </c>
      <c r="AV35" s="458">
        <f t="shared" si="1"/>
        <v>-3.6679999999999993</v>
      </c>
      <c r="AW35" s="280"/>
      <c r="AX35" s="291">
        <f t="shared" si="2"/>
        <v>24.268</v>
      </c>
      <c r="AY35" s="276" t="str">
        <f t="shared" si="3"/>
        <v>JD</v>
      </c>
    </row>
    <row r="36" spans="1:51" ht="11.25">
      <c r="A36" s="276">
        <f t="shared" si="4"/>
        <v>33</v>
      </c>
      <c r="B36" s="276" t="s">
        <v>88</v>
      </c>
      <c r="C36" s="280"/>
      <c r="D36" s="280"/>
      <c r="E36" s="280"/>
      <c r="F36" s="280">
        <f>'[1]faktímab'!D7+'[1]faktímab'!N8</f>
        <v>11.939</v>
      </c>
      <c r="G36" s="283"/>
      <c r="H36" s="280">
        <f>'[1]faktímab'!B11+'[1]faktímab'!D11+'[1]faktímab'!BV11+'[1]faktímab'!EO11</f>
        <v>10.5</v>
      </c>
      <c r="I36" s="280"/>
      <c r="J36" s="280"/>
      <c r="K36" s="280"/>
      <c r="L36" s="280"/>
      <c r="M36" s="280"/>
      <c r="N36" s="281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>
        <v>2</v>
      </c>
      <c r="AR36" s="280">
        <v>1</v>
      </c>
      <c r="AS36" s="280"/>
      <c r="AT36" s="457">
        <f t="shared" si="0"/>
        <v>25.439</v>
      </c>
      <c r="AU36" s="457">
        <v>21.6</v>
      </c>
      <c r="AV36" s="458">
        <f t="shared" si="1"/>
        <v>-3.8389999999999986</v>
      </c>
      <c r="AW36" s="280"/>
      <c r="AX36" s="291">
        <f t="shared" si="2"/>
        <v>25.439</v>
      </c>
      <c r="AY36" s="276" t="str">
        <f t="shared" si="3"/>
        <v>JG</v>
      </c>
    </row>
    <row r="37" spans="1:51" ht="11.25">
      <c r="A37" s="276">
        <f t="shared" si="4"/>
        <v>34</v>
      </c>
      <c r="B37" s="276" t="s">
        <v>161</v>
      </c>
      <c r="C37" s="280"/>
      <c r="D37" s="280"/>
      <c r="E37" s="280"/>
      <c r="F37" s="280">
        <f>'[1]faktímab'!P8</f>
        <v>5.4399999999999995</v>
      </c>
      <c r="G37" s="280"/>
      <c r="H37" s="280"/>
      <c r="I37" s="280"/>
      <c r="J37" s="280"/>
      <c r="K37" s="280"/>
      <c r="L37" s="280">
        <f>'[1]faktímab'!DR15+'[1]faktímab'!EO15</f>
        <v>10.974</v>
      </c>
      <c r="M37" s="280"/>
      <c r="N37" s="281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457">
        <f t="shared" si="0"/>
        <v>16.414</v>
      </c>
      <c r="AU37" s="457">
        <v>18.6</v>
      </c>
      <c r="AV37" s="458">
        <f t="shared" si="1"/>
        <v>2.186</v>
      </c>
      <c r="AW37" s="280">
        <v>0.038</v>
      </c>
      <c r="AX37" s="291">
        <f t="shared" si="2"/>
        <v>16.452</v>
      </c>
      <c r="AY37" s="276" t="str">
        <f t="shared" si="3"/>
        <v>JH</v>
      </c>
    </row>
    <row r="38" spans="1:51" ht="11.25">
      <c r="A38" s="276">
        <f t="shared" si="4"/>
        <v>35</v>
      </c>
      <c r="B38" s="335" t="s">
        <v>269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1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457">
        <f t="shared" si="0"/>
        <v>0</v>
      </c>
      <c r="AU38" s="457"/>
      <c r="AV38" s="458">
        <f t="shared" si="1"/>
        <v>0</v>
      </c>
      <c r="AW38" s="280"/>
      <c r="AX38" s="291">
        <f t="shared" si="2"/>
        <v>0</v>
      </c>
      <c r="AY38" s="335" t="str">
        <f t="shared" si="3"/>
        <v>JJ</v>
      </c>
    </row>
    <row r="39" spans="1:51" ht="11.25">
      <c r="A39" s="276">
        <f t="shared" si="4"/>
        <v>36</v>
      </c>
      <c r="B39" s="335" t="s">
        <v>252</v>
      </c>
      <c r="C39" s="280">
        <f>'[1]faktímab'!AH4+'[1]faktímab'!AL4</f>
        <v>11.881</v>
      </c>
      <c r="D39" s="280"/>
      <c r="E39" s="280"/>
      <c r="F39" s="280"/>
      <c r="G39" s="280">
        <f>'[1]faktímab'!BX10</f>
        <v>5.16</v>
      </c>
      <c r="H39" s="280"/>
      <c r="I39" s="280"/>
      <c r="J39" s="280"/>
      <c r="K39" s="280"/>
      <c r="L39" s="280"/>
      <c r="M39" s="280"/>
      <c r="N39" s="281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>
        <f>'[1]faktímab'!AT34</f>
        <v>6.785</v>
      </c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460">
        <v>0.75</v>
      </c>
      <c r="AS39" s="280"/>
      <c r="AT39" s="457">
        <f t="shared" si="0"/>
        <v>24.576</v>
      </c>
      <c r="AU39" s="457"/>
      <c r="AV39" s="458">
        <f t="shared" si="1"/>
        <v>-24.576</v>
      </c>
      <c r="AW39" s="280"/>
      <c r="AX39" s="291">
        <f t="shared" si="2"/>
        <v>24.576</v>
      </c>
      <c r="AY39" s="335" t="str">
        <f t="shared" si="3"/>
        <v>JO</v>
      </c>
    </row>
    <row r="40" spans="1:51" ht="11.25">
      <c r="A40" s="276">
        <f t="shared" si="4"/>
        <v>37</v>
      </c>
      <c r="B40" s="276" t="s">
        <v>97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1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>
        <f>'[1]faktímab'!EO30</f>
        <v>3</v>
      </c>
      <c r="Z40" s="280"/>
      <c r="AA40" s="280"/>
      <c r="AC40" s="280"/>
      <c r="AD40" s="280"/>
      <c r="AE40" s="280"/>
      <c r="AF40" s="280"/>
      <c r="AG40" s="280"/>
      <c r="AH40" s="280"/>
      <c r="AI40" s="280"/>
      <c r="AJ40" s="280"/>
      <c r="AK40" s="280">
        <v>19.275</v>
      </c>
      <c r="AL40" s="280"/>
      <c r="AM40" s="280"/>
      <c r="AN40" s="280"/>
      <c r="AO40" s="280"/>
      <c r="AP40" s="280"/>
      <c r="AQ40" s="280"/>
      <c r="AR40" s="280"/>
      <c r="AS40" s="280"/>
      <c r="AT40" s="457">
        <f t="shared" si="0"/>
        <v>22.275</v>
      </c>
      <c r="AU40" s="457">
        <v>21.6</v>
      </c>
      <c r="AV40" s="458">
        <f t="shared" si="1"/>
        <v>-0.6749999999999972</v>
      </c>
      <c r="AW40" s="280"/>
      <c r="AX40" s="291">
        <f t="shared" si="2"/>
        <v>22.275</v>
      </c>
      <c r="AY40" s="276" t="str">
        <f t="shared" si="3"/>
        <v>JS</v>
      </c>
    </row>
    <row r="41" spans="1:51" ht="11.25">
      <c r="A41" s="276">
        <f t="shared" si="4"/>
        <v>38</v>
      </c>
      <c r="B41" s="276" t="s">
        <v>221</v>
      </c>
      <c r="C41" s="280"/>
      <c r="D41" s="280"/>
      <c r="E41" s="280"/>
      <c r="F41" s="280">
        <f>'[1]faktímab'!R8+'[1]faktímab'!DP7</f>
        <v>12.584</v>
      </c>
      <c r="G41" s="280"/>
      <c r="H41" s="280"/>
      <c r="I41" s="280"/>
      <c r="J41" s="280"/>
      <c r="K41" s="280"/>
      <c r="L41" s="280"/>
      <c r="M41" s="280"/>
      <c r="N41" s="281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457">
        <f t="shared" si="0"/>
        <v>12.584</v>
      </c>
      <c r="AU41" s="457">
        <v>21.6</v>
      </c>
      <c r="AV41" s="458">
        <f t="shared" si="1"/>
        <v>9.016000000000002</v>
      </c>
      <c r="AW41" s="280"/>
      <c r="AX41" s="291">
        <f t="shared" si="2"/>
        <v>12.584</v>
      </c>
      <c r="AY41" s="276" t="str">
        <f t="shared" si="3"/>
        <v>JT</v>
      </c>
    </row>
    <row r="42" spans="1:51" ht="11.25">
      <c r="A42" s="276">
        <f>A41+1</f>
        <v>39</v>
      </c>
      <c r="B42" s="276" t="s">
        <v>115</v>
      </c>
      <c r="C42" s="280"/>
      <c r="D42" s="280"/>
      <c r="E42" s="280">
        <f>'[1]faktímab'!CQ6</f>
        <v>5.631</v>
      </c>
      <c r="F42" s="280"/>
      <c r="G42" s="280"/>
      <c r="H42" s="280"/>
      <c r="I42" s="280"/>
      <c r="J42" s="280"/>
      <c r="K42" s="280"/>
      <c r="L42" s="280"/>
      <c r="M42" s="280"/>
      <c r="N42" s="281"/>
      <c r="O42" s="280"/>
      <c r="P42" s="280"/>
      <c r="Q42" s="280"/>
      <c r="R42" s="280"/>
      <c r="S42" s="280"/>
      <c r="T42" s="280"/>
      <c r="U42" s="280"/>
      <c r="V42" s="280"/>
      <c r="W42" s="280"/>
      <c r="X42" s="280">
        <f>'[1]faktímab'!BP29+'[1]faktímab'!FG29</f>
        <v>8</v>
      </c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>
        <f>'[1]faktímab'!D42+'[1]faktímab'!N42+'[1]faktímab'!AF42+'[1]faktímab'!AV42+'[1]faktímab'!CQ42+'[1]faktímab'!EK42</f>
        <v>9.4</v>
      </c>
      <c r="AO42" s="280"/>
      <c r="AP42" s="280"/>
      <c r="AQ42" s="280"/>
      <c r="AR42" s="280"/>
      <c r="AS42" s="280"/>
      <c r="AT42" s="457">
        <f t="shared" si="0"/>
        <v>23.031</v>
      </c>
      <c r="AU42" s="457">
        <v>21.6</v>
      </c>
      <c r="AV42" s="458">
        <f t="shared" si="1"/>
        <v>-1.4309999999999974</v>
      </c>
      <c r="AW42" s="280"/>
      <c r="AX42" s="291">
        <f t="shared" si="2"/>
        <v>23.031</v>
      </c>
      <c r="AY42" s="276" t="str">
        <f t="shared" si="3"/>
        <v>KA</v>
      </c>
    </row>
    <row r="43" spans="2:51" ht="11.25">
      <c r="B43" s="276" t="s">
        <v>93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1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>
        <f>'[1]faktímab'!B39+'[1]faktímab'!F39+'[1]faktímab'!L39+'[1]faktímab'!AF39</f>
        <v>21.75</v>
      </c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457">
        <f t="shared" si="0"/>
        <v>21.75</v>
      </c>
      <c r="AU43" s="457">
        <v>20.6</v>
      </c>
      <c r="AV43" s="458">
        <f t="shared" si="1"/>
        <v>-1.1499999999999986</v>
      </c>
      <c r="AW43" s="280"/>
      <c r="AX43" s="291"/>
      <c r="AY43" s="276" t="str">
        <f t="shared" si="3"/>
        <v>KD</v>
      </c>
    </row>
    <row r="44" spans="1:51" ht="11.25">
      <c r="A44" s="276">
        <f>A42+1</f>
        <v>40</v>
      </c>
      <c r="B44" s="276" t="s">
        <v>255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>
        <f>'[1]faktímab'!EK16</f>
        <v>7.2</v>
      </c>
      <c r="N44" s="281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>
        <f>'[1]faktímab'!AJ39+'[1]faktímab'!AP39</f>
        <v>10.4</v>
      </c>
      <c r="AG44" s="280"/>
      <c r="AH44" s="280"/>
      <c r="AI44" s="280"/>
      <c r="AJ44" s="280"/>
      <c r="AK44" s="280"/>
      <c r="AL44" s="280"/>
      <c r="AM44" s="280"/>
      <c r="AN44" s="280"/>
      <c r="AO44" s="280"/>
      <c r="AP44" s="288"/>
      <c r="AQ44" s="280"/>
      <c r="AR44" s="280"/>
      <c r="AS44" s="280"/>
      <c r="AT44" s="457">
        <f t="shared" si="0"/>
        <v>17.6</v>
      </c>
      <c r="AU44" s="457">
        <v>20.6</v>
      </c>
      <c r="AV44" s="458">
        <f t="shared" si="1"/>
        <v>3</v>
      </c>
      <c r="AW44" s="280">
        <v>3.145</v>
      </c>
      <c r="AX44" s="291">
        <f t="shared" si="2"/>
        <v>20.745</v>
      </c>
      <c r="AY44" s="276" t="str">
        <f t="shared" si="3"/>
        <v>KB</v>
      </c>
    </row>
    <row r="45" spans="1:51" ht="11.25">
      <c r="A45" s="276">
        <f t="shared" si="4"/>
        <v>41</v>
      </c>
      <c r="B45" s="276" t="s">
        <v>91</v>
      </c>
      <c r="C45" s="280"/>
      <c r="D45" s="280"/>
      <c r="E45" s="283"/>
      <c r="F45" s="280">
        <f>'[1]faktímab'!AL7</f>
        <v>6.499</v>
      </c>
      <c r="G45" s="280"/>
      <c r="H45" s="280"/>
      <c r="I45" s="280"/>
      <c r="J45" s="280"/>
      <c r="K45" s="280"/>
      <c r="L45" s="280"/>
      <c r="M45" s="280">
        <f>'[1]faktímab'!AJ16</f>
        <v>4.428</v>
      </c>
      <c r="N45" s="281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457">
        <f t="shared" si="0"/>
        <v>10.927</v>
      </c>
      <c r="AU45" s="457">
        <v>20.6</v>
      </c>
      <c r="AV45" s="458">
        <f t="shared" si="1"/>
        <v>9.673000000000002</v>
      </c>
      <c r="AW45" s="280"/>
      <c r="AX45" s="291">
        <f t="shared" si="2"/>
        <v>10.927</v>
      </c>
      <c r="AY45" s="276" t="str">
        <f t="shared" si="3"/>
        <v>KH</v>
      </c>
    </row>
    <row r="46" spans="1:51" ht="11.25">
      <c r="A46" s="276">
        <f t="shared" si="4"/>
        <v>42</v>
      </c>
      <c r="B46" s="364" t="s">
        <v>285</v>
      </c>
      <c r="C46" s="280"/>
      <c r="D46" s="280"/>
      <c r="E46" s="280">
        <f>'[1]faktímab'!AH6+'[1]faktímab'!EM6</f>
        <v>11.643</v>
      </c>
      <c r="F46" s="280"/>
      <c r="G46" s="280"/>
      <c r="H46" s="280">
        <f>'[1]faktímab'!F11+'[1]faktímab'!N11+'[1]faktímab'!P11+'[1]faktímab'!R11+'[1]faktímab'!BT11+'[1]faktímab'!L11</f>
        <v>12</v>
      </c>
      <c r="I46" s="280"/>
      <c r="J46" s="280"/>
      <c r="K46" s="280"/>
      <c r="L46" s="280"/>
      <c r="M46" s="280"/>
      <c r="N46" s="281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457">
        <f t="shared" si="0"/>
        <v>23.643</v>
      </c>
      <c r="AU46" s="457">
        <v>21.6</v>
      </c>
      <c r="AV46" s="458">
        <f t="shared" si="1"/>
        <v>-2.0429999999999993</v>
      </c>
      <c r="AW46" s="280"/>
      <c r="AX46" s="291">
        <f t="shared" si="2"/>
        <v>23.643</v>
      </c>
      <c r="AY46" s="335" t="str">
        <f t="shared" si="3"/>
        <v>KI</v>
      </c>
    </row>
    <row r="47" spans="1:51" ht="11.25">
      <c r="A47" s="276">
        <f t="shared" si="4"/>
        <v>43</v>
      </c>
      <c r="B47" s="461" t="s">
        <v>94</v>
      </c>
      <c r="C47" s="280"/>
      <c r="D47" s="280"/>
      <c r="E47" s="280"/>
      <c r="F47" s="280"/>
      <c r="G47" s="280"/>
      <c r="I47" s="280"/>
      <c r="J47" s="280"/>
      <c r="K47" s="280"/>
      <c r="L47" s="280"/>
      <c r="M47" s="280"/>
      <c r="N47" s="281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457">
        <f t="shared" si="0"/>
        <v>0</v>
      </c>
      <c r="AU47" s="457"/>
      <c r="AV47" s="458">
        <f t="shared" si="1"/>
        <v>0</v>
      </c>
      <c r="AW47" s="280">
        <v>3.661</v>
      </c>
      <c r="AX47" s="291">
        <f t="shared" si="2"/>
        <v>3.661</v>
      </c>
      <c r="AY47" s="276" t="str">
        <f t="shared" si="3"/>
        <v>KJ</v>
      </c>
    </row>
    <row r="48" spans="1:51" ht="11.25">
      <c r="A48" s="276">
        <f>A47</f>
        <v>43</v>
      </c>
      <c r="B48" s="335" t="s">
        <v>266</v>
      </c>
      <c r="C48" s="280"/>
      <c r="D48" s="280"/>
      <c r="E48" s="280"/>
      <c r="F48" s="280">
        <f>'[1]faktímab'!AH7+'[1]faktímab'!EW7</f>
        <v>12.369</v>
      </c>
      <c r="G48" s="280"/>
      <c r="H48" s="280"/>
      <c r="I48" s="280"/>
      <c r="J48" s="280"/>
      <c r="K48" s="280"/>
      <c r="L48" s="280"/>
      <c r="M48" s="280"/>
      <c r="N48" s="281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>
        <f>'[1]faktímab'!BL30</f>
        <v>6.8</v>
      </c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457">
        <f t="shared" si="0"/>
        <v>19.169</v>
      </c>
      <c r="AU48" s="457"/>
      <c r="AV48" s="458">
        <f t="shared" si="1"/>
        <v>-19.169</v>
      </c>
      <c r="AW48" s="280"/>
      <c r="AX48" s="291">
        <f t="shared" si="2"/>
        <v>19.169</v>
      </c>
      <c r="AY48" s="335" t="str">
        <f t="shared" si="3"/>
        <v>KK</v>
      </c>
    </row>
    <row r="49" spans="1:51" ht="11.25">
      <c r="A49" s="276">
        <f t="shared" si="4"/>
        <v>44</v>
      </c>
      <c r="B49" s="276" t="s">
        <v>105</v>
      </c>
      <c r="C49" s="280"/>
      <c r="D49" s="280"/>
      <c r="E49" s="280"/>
      <c r="F49" s="280"/>
      <c r="G49" s="280">
        <f>'[1]faktímab'!DN10</f>
        <v>7.072</v>
      </c>
      <c r="H49" s="280"/>
      <c r="I49" s="280"/>
      <c r="J49" s="280"/>
      <c r="K49" s="280"/>
      <c r="L49" s="280"/>
      <c r="M49" s="280"/>
      <c r="N49" s="281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>
        <f>'[1]faktímab'!DL34</f>
        <v>7.546</v>
      </c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90">
        <v>7</v>
      </c>
      <c r="AQ49" s="280"/>
      <c r="AR49" s="279">
        <v>0.75</v>
      </c>
      <c r="AS49" s="280"/>
      <c r="AT49" s="457">
        <f t="shared" si="0"/>
        <v>22.368000000000002</v>
      </c>
      <c r="AU49" s="457">
        <v>20.6</v>
      </c>
      <c r="AV49" s="458">
        <f t="shared" si="1"/>
        <v>-1.7680000000000007</v>
      </c>
      <c r="AW49" s="280"/>
      <c r="AX49" s="291">
        <f t="shared" si="2"/>
        <v>22.368000000000002</v>
      </c>
      <c r="AY49" s="276" t="str">
        <f t="shared" si="3"/>
        <v>KM</v>
      </c>
    </row>
    <row r="50" spans="1:51" ht="11.25">
      <c r="A50" s="276">
        <v>47</v>
      </c>
      <c r="B50" s="276" t="s">
        <v>256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1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>
        <f>'[1]faktímab'!FI34+'[1]faktímab'!AP34+'[1]faktímab'!EK33</f>
        <v>20.442999999999998</v>
      </c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457">
        <f t="shared" si="0"/>
        <v>20.442999999999998</v>
      </c>
      <c r="AU50" s="457">
        <v>20.6</v>
      </c>
      <c r="AV50" s="458">
        <f t="shared" si="1"/>
        <v>0.15700000000000358</v>
      </c>
      <c r="AW50" s="280"/>
      <c r="AX50" s="291">
        <f t="shared" si="2"/>
        <v>20.442999999999998</v>
      </c>
      <c r="AY50" s="276" t="str">
        <f t="shared" si="3"/>
        <v>KN</v>
      </c>
    </row>
    <row r="51" spans="1:51" ht="11.25">
      <c r="A51" s="276">
        <f t="shared" si="4"/>
        <v>48</v>
      </c>
      <c r="B51" s="364" t="s">
        <v>293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0"/>
      <c r="P51" s="280"/>
      <c r="Q51" s="280"/>
      <c r="R51" s="280"/>
      <c r="S51" s="280"/>
      <c r="T51" s="280"/>
      <c r="U51" s="280"/>
      <c r="V51" s="280">
        <f>'[1]faktímab'!CM27</f>
        <v>3</v>
      </c>
      <c r="W51" s="280"/>
      <c r="X51" s="280"/>
      <c r="Y51" s="280"/>
      <c r="Z51" s="280">
        <f>'[1]faktímab'!P31+'[1]faktímab'!DV31</f>
        <v>12.610000000000001</v>
      </c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457">
        <f t="shared" si="0"/>
        <v>15.610000000000001</v>
      </c>
      <c r="AU51" s="457">
        <v>21.6</v>
      </c>
      <c r="AV51" s="458">
        <f t="shared" si="1"/>
        <v>5.99</v>
      </c>
      <c r="AW51" s="280"/>
      <c r="AX51" s="291">
        <f t="shared" si="2"/>
        <v>15.610000000000001</v>
      </c>
      <c r="AY51" s="335" t="str">
        <f t="shared" si="3"/>
        <v>KP</v>
      </c>
    </row>
    <row r="52" spans="1:51" ht="11.25">
      <c r="A52" s="276">
        <f t="shared" si="4"/>
        <v>49</v>
      </c>
      <c r="B52" s="335" t="s">
        <v>305</v>
      </c>
      <c r="C52" s="280"/>
      <c r="D52" s="280"/>
      <c r="E52" s="280">
        <f>'[1]faktímab'!AJ6+'[1]faktímab'!AR6+'[1]faktímab'!AV6</f>
        <v>14.731</v>
      </c>
      <c r="F52" s="280"/>
      <c r="G52" s="280"/>
      <c r="H52" s="280"/>
      <c r="I52" s="280"/>
      <c r="J52" s="280"/>
      <c r="K52" s="280"/>
      <c r="L52" s="280"/>
      <c r="M52" s="280"/>
      <c r="N52" s="281"/>
      <c r="O52" s="280"/>
      <c r="P52" s="280">
        <f>'[1]faktímab'!BP19</f>
        <v>4</v>
      </c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457">
        <f t="shared" si="0"/>
        <v>18.731</v>
      </c>
      <c r="AU52" s="457"/>
      <c r="AV52" s="458">
        <f t="shared" si="1"/>
        <v>-18.731</v>
      </c>
      <c r="AW52" s="280"/>
      <c r="AX52" s="291">
        <f t="shared" si="2"/>
        <v>18.731</v>
      </c>
      <c r="AY52" s="335" t="str">
        <f t="shared" si="3"/>
        <v>DP</v>
      </c>
    </row>
    <row r="53" spans="1:51" ht="11.25">
      <c r="A53" s="276">
        <f t="shared" si="4"/>
        <v>50</v>
      </c>
      <c r="B53" s="419" t="s">
        <v>294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>
        <f>'[1]faktímab'!AV16+'[1]faktímab'!CU16</f>
        <v>12.998</v>
      </c>
      <c r="N53" s="281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457">
        <f t="shared" si="0"/>
        <v>12.998</v>
      </c>
      <c r="AU53" s="457"/>
      <c r="AV53" s="458">
        <f t="shared" si="1"/>
        <v>-12.998</v>
      </c>
      <c r="AW53" s="280"/>
      <c r="AX53" s="291">
        <f t="shared" si="2"/>
        <v>12.998</v>
      </c>
      <c r="AY53" s="335" t="str">
        <f t="shared" si="3"/>
        <v>KR</v>
      </c>
    </row>
    <row r="54" spans="1:51" ht="11.25">
      <c r="A54" s="276">
        <f t="shared" si="4"/>
        <v>51</v>
      </c>
      <c r="B54" s="276" t="s">
        <v>95</v>
      </c>
      <c r="C54" s="280"/>
      <c r="D54" s="280"/>
      <c r="E54" s="280"/>
      <c r="F54" s="280">
        <f>'[1]faktímab'!AF7+'[1]faktímab'!AP8+'[1]faktímab'!DN7</f>
        <v>18.487000000000002</v>
      </c>
      <c r="G54" s="280"/>
      <c r="H54" s="280"/>
      <c r="I54" s="280"/>
      <c r="J54" s="280"/>
      <c r="K54" s="280"/>
      <c r="L54" s="280"/>
      <c r="M54" s="280"/>
      <c r="N54" s="281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457">
        <f t="shared" si="0"/>
        <v>18.487000000000002</v>
      </c>
      <c r="AU54" s="457">
        <v>18.6</v>
      </c>
      <c r="AV54" s="458">
        <f t="shared" si="1"/>
        <v>0.11299999999999955</v>
      </c>
      <c r="AW54" s="280"/>
      <c r="AX54" s="291">
        <f t="shared" si="2"/>
        <v>18.487000000000002</v>
      </c>
      <c r="AY54" s="276" t="str">
        <f t="shared" si="3"/>
        <v>LJ</v>
      </c>
    </row>
    <row r="55" spans="1:51" ht="11.25">
      <c r="A55" s="276">
        <f t="shared" si="4"/>
        <v>52</v>
      </c>
      <c r="B55" s="276" t="s">
        <v>89</v>
      </c>
      <c r="C55" s="280"/>
      <c r="D55" s="280"/>
      <c r="E55" s="280"/>
      <c r="F55" s="280">
        <f>'[1]faktímab'!DN8</f>
        <v>7.2780000000000005</v>
      </c>
      <c r="G55" s="280"/>
      <c r="H55" s="280"/>
      <c r="I55" s="280"/>
      <c r="J55" s="280"/>
      <c r="K55" s="280"/>
      <c r="L55" s="280"/>
      <c r="M55" s="280"/>
      <c r="N55" s="281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>
        <f>'[1]faktímab'!DX39</f>
        <v>6.6080000000000005</v>
      </c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457">
        <f t="shared" si="0"/>
        <v>13.886000000000001</v>
      </c>
      <c r="AU55" s="457">
        <v>21.6</v>
      </c>
      <c r="AV55" s="458">
        <f t="shared" si="1"/>
        <v>7.714</v>
      </c>
      <c r="AW55" s="280"/>
      <c r="AX55" s="291">
        <f t="shared" si="2"/>
        <v>13.886000000000001</v>
      </c>
      <c r="AY55" s="276" t="str">
        <f t="shared" si="3"/>
        <v>MA</v>
      </c>
    </row>
    <row r="56" spans="1:51" ht="11.25">
      <c r="A56" s="276">
        <f t="shared" si="4"/>
        <v>53</v>
      </c>
      <c r="B56" s="276" t="s">
        <v>106</v>
      </c>
      <c r="C56" s="280"/>
      <c r="D56" s="280">
        <f>'[1]faktímab'!L5</f>
        <v>6.4</v>
      </c>
      <c r="E56" s="280"/>
      <c r="F56" s="284"/>
      <c r="G56" s="284"/>
      <c r="H56" s="280"/>
      <c r="I56" s="280"/>
      <c r="J56" s="280"/>
      <c r="K56" s="280"/>
      <c r="L56" s="280"/>
      <c r="M56" s="280"/>
      <c r="N56" s="281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>
        <f>'[1]faktímab'!N34+'[1]faktímab'!DH33</f>
        <v>16.354999999999997</v>
      </c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79"/>
      <c r="AS56" s="280"/>
      <c r="AT56" s="457">
        <f t="shared" si="0"/>
        <v>22.754999999999995</v>
      </c>
      <c r="AU56" s="457">
        <v>20.6</v>
      </c>
      <c r="AV56" s="458">
        <f t="shared" si="1"/>
        <v>-2.154999999999994</v>
      </c>
      <c r="AW56" s="280">
        <v>1.155</v>
      </c>
      <c r="AX56" s="291">
        <f t="shared" si="2"/>
        <v>23.909999999999997</v>
      </c>
      <c r="AY56" s="276" t="str">
        <f t="shared" si="3"/>
        <v>MH</v>
      </c>
    </row>
    <row r="57" spans="1:51" ht="11.25">
      <c r="A57" s="276">
        <f t="shared" si="4"/>
        <v>54</v>
      </c>
      <c r="B57" s="276" t="s">
        <v>289</v>
      </c>
      <c r="E57" s="279"/>
      <c r="M57" s="279"/>
      <c r="Q57" s="279">
        <f>2+2+2+2+'[1]faktímab'!CD20</f>
        <v>12.5</v>
      </c>
      <c r="T57" s="279">
        <f>'[1]faktímab'!B25+'[1]faktímab'!BX25</f>
        <v>9.536</v>
      </c>
      <c r="AC57" s="279"/>
      <c r="AT57" s="457">
        <f t="shared" si="0"/>
        <v>22.036</v>
      </c>
      <c r="AU57" s="457">
        <v>21.6</v>
      </c>
      <c r="AV57" s="458">
        <f t="shared" si="1"/>
        <v>-0.43599999999999994</v>
      </c>
      <c r="AX57" s="291">
        <f t="shared" si="2"/>
        <v>22.036</v>
      </c>
      <c r="AY57" s="276" t="str">
        <f t="shared" si="3"/>
        <v>MM</v>
      </c>
    </row>
    <row r="58" spans="1:51" ht="11.25">
      <c r="A58" s="276">
        <f t="shared" si="4"/>
        <v>55</v>
      </c>
      <c r="B58" s="276" t="s">
        <v>117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1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>
        <f>'[1]faktímab'!AT31+'[1]faktímab'!AH31+'[1]faktímab'!AF31+'[1]faktímab'!R31+'[1]faktímab'!EO31</f>
        <v>22.974000000000004</v>
      </c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457">
        <f t="shared" si="0"/>
        <v>22.974000000000004</v>
      </c>
      <c r="AU58" s="457">
        <v>21.6</v>
      </c>
      <c r="AV58" s="458">
        <f t="shared" si="1"/>
        <v>-1.3740000000000023</v>
      </c>
      <c r="AW58" s="280"/>
      <c r="AX58" s="291">
        <f t="shared" si="2"/>
        <v>22.974000000000004</v>
      </c>
      <c r="AY58" s="276" t="str">
        <f t="shared" si="3"/>
        <v>MR</v>
      </c>
    </row>
    <row r="59" spans="1:51" ht="11.25">
      <c r="A59" s="276">
        <f>A58+1</f>
        <v>56</v>
      </c>
      <c r="B59" s="276" t="s">
        <v>245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1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>
        <f>'[1]faktímab'!B37+'[1]faktímab'!D37+'[1]faktímab'!BJ37+'[1]faktímab'!DT37</f>
        <v>13.742</v>
      </c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336"/>
      <c r="AQ59" s="280">
        <v>3</v>
      </c>
      <c r="AR59" s="280">
        <v>0.75</v>
      </c>
      <c r="AS59" s="280"/>
      <c r="AT59" s="457">
        <f t="shared" si="0"/>
        <v>17.492</v>
      </c>
      <c r="AU59" s="457">
        <v>10.8</v>
      </c>
      <c r="AV59" s="458">
        <f t="shared" si="1"/>
        <v>-6.692</v>
      </c>
      <c r="AW59" s="280"/>
      <c r="AX59" s="291">
        <f t="shared" si="2"/>
        <v>17.492</v>
      </c>
      <c r="AY59" s="276" t="str">
        <f t="shared" si="3"/>
        <v>OJ</v>
      </c>
    </row>
    <row r="60" spans="1:52" s="466" customFormat="1" ht="11.25">
      <c r="A60" s="461">
        <f t="shared" si="4"/>
        <v>57</v>
      </c>
      <c r="B60" s="461" t="s">
        <v>229</v>
      </c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3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4">
        <f t="shared" si="0"/>
        <v>0</v>
      </c>
      <c r="AU60" s="464"/>
      <c r="AV60" s="458">
        <f t="shared" si="1"/>
        <v>0</v>
      </c>
      <c r="AW60" s="462"/>
      <c r="AX60" s="465">
        <f t="shared" si="2"/>
        <v>0</v>
      </c>
      <c r="AY60" s="461" t="str">
        <f t="shared" si="3"/>
        <v>OK</v>
      </c>
      <c r="AZ60" s="456"/>
    </row>
    <row r="61" spans="1:51" ht="11.25">
      <c r="A61" s="276">
        <f t="shared" si="4"/>
        <v>58</v>
      </c>
      <c r="B61" s="276" t="s">
        <v>279</v>
      </c>
      <c r="C61" s="280">
        <f>'[1]faktímab'!AF4</f>
        <v>5.639</v>
      </c>
      <c r="D61" s="280">
        <f>'[1]faktímab'!AR5</f>
        <v>5.220000000000001</v>
      </c>
      <c r="E61" s="280"/>
      <c r="F61" s="280"/>
      <c r="G61" s="280"/>
      <c r="H61" s="280"/>
      <c r="I61" s="280"/>
      <c r="J61" s="280"/>
      <c r="K61" s="280"/>
      <c r="L61" s="280"/>
      <c r="M61" s="280"/>
      <c r="N61" s="281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>
        <f>'[1]faktímab'!P34+'[1]faktímab'!B33</f>
        <v>13.176</v>
      </c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336"/>
      <c r="AP61" s="280"/>
      <c r="AQ61" s="280"/>
      <c r="AR61" s="279"/>
      <c r="AS61" s="280"/>
      <c r="AT61" s="457">
        <f>SUM(C61:AS61)</f>
        <v>24.035000000000004</v>
      </c>
      <c r="AU61" s="457">
        <v>20.6</v>
      </c>
      <c r="AV61" s="458">
        <f t="shared" si="1"/>
        <v>-3.4350000000000023</v>
      </c>
      <c r="AW61" s="280"/>
      <c r="AX61" s="291">
        <f t="shared" si="2"/>
        <v>24.035000000000004</v>
      </c>
      <c r="AY61" s="276" t="str">
        <f t="shared" si="3"/>
        <v>PJ</v>
      </c>
    </row>
    <row r="62" spans="1:51" ht="11.25">
      <c r="A62" s="276">
        <f t="shared" si="4"/>
        <v>59</v>
      </c>
      <c r="B62" s="276" t="s">
        <v>107</v>
      </c>
      <c r="C62" s="280"/>
      <c r="D62" s="280"/>
      <c r="E62" s="280"/>
      <c r="F62" s="280"/>
      <c r="G62" s="280"/>
      <c r="H62" s="280"/>
      <c r="I62" s="280"/>
      <c r="J62" s="280">
        <v>2.5</v>
      </c>
      <c r="K62" s="280"/>
      <c r="L62" s="280"/>
      <c r="M62" s="280"/>
      <c r="N62" s="281"/>
      <c r="O62" s="280"/>
      <c r="P62" s="280"/>
      <c r="Q62" s="280"/>
      <c r="R62" s="280"/>
      <c r="S62" s="280"/>
      <c r="T62" s="280">
        <f>'[1]faktímab'!D25+'[1]faktímab'!P25+'[1]faktímab'!DP25+'[1]faktímab'!EQ25</f>
        <v>20.439999999999998</v>
      </c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79">
        <v>1.5</v>
      </c>
      <c r="AS62" s="280"/>
      <c r="AT62" s="457">
        <f t="shared" si="0"/>
        <v>24.439999999999998</v>
      </c>
      <c r="AU62" s="457">
        <v>21.6</v>
      </c>
      <c r="AV62" s="458">
        <f t="shared" si="1"/>
        <v>-2.8399999999999963</v>
      </c>
      <c r="AW62" s="280"/>
      <c r="AX62" s="291">
        <f t="shared" si="2"/>
        <v>24.439999999999998</v>
      </c>
      <c r="AY62" s="276" t="str">
        <f t="shared" si="3"/>
        <v>PM</v>
      </c>
    </row>
    <row r="63" spans="1:51" ht="11.25">
      <c r="A63" s="276">
        <f t="shared" si="4"/>
        <v>60</v>
      </c>
      <c r="B63" s="276" t="s">
        <v>92</v>
      </c>
      <c r="C63" s="280"/>
      <c r="D63" s="280"/>
      <c r="E63" s="280">
        <f>'[1]faktímab'!AT6+'[1]faktímab'!CM6</f>
        <v>10.698</v>
      </c>
      <c r="F63" s="280"/>
      <c r="G63" s="280"/>
      <c r="H63" s="280"/>
      <c r="I63" s="280"/>
      <c r="J63" s="280"/>
      <c r="K63" s="280"/>
      <c r="L63" s="280"/>
      <c r="M63" s="280"/>
      <c r="N63" s="281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>
        <f>'[1]faktímab'!AL35+'[1]faktímab'!AR35</f>
        <v>7.221</v>
      </c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457">
        <f t="shared" si="0"/>
        <v>17.919</v>
      </c>
      <c r="AU63" s="457">
        <v>21.6</v>
      </c>
      <c r="AV63" s="458">
        <f t="shared" si="1"/>
        <v>3.681000000000001</v>
      </c>
      <c r="AW63" s="280"/>
      <c r="AX63" s="291">
        <f t="shared" si="2"/>
        <v>17.919</v>
      </c>
      <c r="AY63" s="276" t="str">
        <f t="shared" si="3"/>
        <v>PO</v>
      </c>
    </row>
    <row r="64" spans="1:51" ht="11.25">
      <c r="A64" s="276">
        <f t="shared" si="4"/>
        <v>61</v>
      </c>
      <c r="B64" s="276" t="s">
        <v>118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1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>
        <f>'[1]faktímab'!B31+'[1]faktímab'!L31+'[1]faktímab'!AP31+'[1]faktímab'!AL31</f>
        <v>18.287</v>
      </c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457">
        <f t="shared" si="0"/>
        <v>18.287</v>
      </c>
      <c r="AU64" s="457">
        <v>21.6</v>
      </c>
      <c r="AV64" s="458">
        <f t="shared" si="1"/>
        <v>3.3130000000000024</v>
      </c>
      <c r="AW64" s="280"/>
      <c r="AX64" s="291">
        <f t="shared" si="2"/>
        <v>18.287</v>
      </c>
      <c r="AY64" s="276" t="str">
        <f t="shared" si="3"/>
        <v>RM</v>
      </c>
    </row>
    <row r="65" spans="1:51" ht="11.25">
      <c r="A65" s="276">
        <f t="shared" si="4"/>
        <v>62</v>
      </c>
      <c r="B65" s="276" t="s">
        <v>108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>
        <f>'[1]faktímab'!F15+'[1]faktímab'!N15+'[1]faktímab'!AJ15</f>
        <v>13.528</v>
      </c>
      <c r="M65" s="280"/>
      <c r="N65" s="281"/>
      <c r="O65" s="280"/>
      <c r="P65" s="280"/>
      <c r="Q65" s="280"/>
      <c r="R65" s="280"/>
      <c r="S65" s="280"/>
      <c r="T65" s="280"/>
      <c r="U65" s="280"/>
      <c r="V65" s="280">
        <f>'[1]faktímab'!CO27+'[1]faktímab'!CQ27+'[1]faktímab'!CW27</f>
        <v>9</v>
      </c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457">
        <f t="shared" si="0"/>
        <v>22.528</v>
      </c>
      <c r="AU65" s="457">
        <v>20.6</v>
      </c>
      <c r="AV65" s="458">
        <f t="shared" si="1"/>
        <v>-1.9279999999999973</v>
      </c>
      <c r="AW65" s="280"/>
      <c r="AX65" s="291">
        <f t="shared" si="2"/>
        <v>22.528</v>
      </c>
      <c r="AY65" s="276" t="str">
        <f t="shared" si="3"/>
        <v>RS</v>
      </c>
    </row>
    <row r="66" spans="1:51" ht="11.25">
      <c r="A66" s="276">
        <f t="shared" si="4"/>
        <v>63</v>
      </c>
      <c r="B66" s="335" t="s">
        <v>268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1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457">
        <f t="shared" si="0"/>
        <v>0</v>
      </c>
      <c r="AU66" s="457"/>
      <c r="AV66" s="458">
        <f t="shared" si="1"/>
        <v>0</v>
      </c>
      <c r="AW66" s="280"/>
      <c r="AX66" s="291">
        <f t="shared" si="2"/>
        <v>0</v>
      </c>
      <c r="AY66" s="335" t="str">
        <f t="shared" si="3"/>
        <v>SD</v>
      </c>
    </row>
    <row r="67" spans="1:51" ht="11.25">
      <c r="A67" s="276">
        <f t="shared" si="4"/>
        <v>64</v>
      </c>
      <c r="B67" s="459" t="s">
        <v>109</v>
      </c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1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460"/>
      <c r="AS67" s="280"/>
      <c r="AT67" s="457">
        <f t="shared" si="0"/>
        <v>0</v>
      </c>
      <c r="AU67" s="457"/>
      <c r="AV67" s="458">
        <f t="shared" si="1"/>
        <v>0</v>
      </c>
      <c r="AW67" s="280"/>
      <c r="AX67" s="291">
        <f t="shared" si="2"/>
        <v>0</v>
      </c>
      <c r="AY67" s="335" t="str">
        <f t="shared" si="3"/>
        <v>SF</v>
      </c>
    </row>
    <row r="68" spans="1:51" ht="11.25">
      <c r="A68" s="276">
        <f t="shared" si="4"/>
        <v>65</v>
      </c>
      <c r="B68" s="276" t="s">
        <v>110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>
        <f>'[1]faktímab'!CQ16</f>
        <v>7.856</v>
      </c>
      <c r="N68" s="281"/>
      <c r="O68" s="280"/>
      <c r="P68" s="280"/>
      <c r="Q68" s="280">
        <f>'[1]faktímab'!CB20+2+2+2+2+2</f>
        <v>14.5</v>
      </c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457">
        <f t="shared" si="0"/>
        <v>22.356</v>
      </c>
      <c r="AU68" s="457">
        <v>20.6</v>
      </c>
      <c r="AV68" s="458">
        <f aca="true" t="shared" si="5" ref="AV68:AV82">AU68-AT68</f>
        <v>-1.7560000000000002</v>
      </c>
      <c r="AW68" s="280"/>
      <c r="AX68" s="291">
        <f aca="true" t="shared" si="6" ref="AX68:AX85">SUM(AT68+AW68)</f>
        <v>22.356</v>
      </c>
      <c r="AY68" s="276" t="str">
        <f t="shared" si="3"/>
        <v>SH</v>
      </c>
    </row>
    <row r="69" spans="1:51" ht="11.25">
      <c r="A69" s="276">
        <f>A68+1</f>
        <v>66</v>
      </c>
      <c r="B69" s="276" t="s">
        <v>228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>
        <f>'[1]faktímab'!D16+'[1]faktímab'!R16+'[1]faktímab'!CO16</f>
        <v>21.961</v>
      </c>
      <c r="N69" s="281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>
        <v>2</v>
      </c>
      <c r="AQ69" s="280"/>
      <c r="AR69" s="280"/>
      <c r="AS69" s="280"/>
      <c r="AT69" s="457">
        <f aca="true" t="shared" si="7" ref="AT69:AT80">SUM(C69:AS69)</f>
        <v>23.961</v>
      </c>
      <c r="AU69" s="457">
        <v>21.6</v>
      </c>
      <c r="AV69" s="458">
        <f t="shared" si="5"/>
        <v>-2.360999999999997</v>
      </c>
      <c r="AW69" s="280"/>
      <c r="AX69" s="291">
        <f t="shared" si="6"/>
        <v>23.961</v>
      </c>
      <c r="AY69" s="276" t="str">
        <f aca="true" t="shared" si="8" ref="AY69:AY85">B69</f>
        <v>SI</v>
      </c>
    </row>
    <row r="70" spans="1:51" ht="11.25">
      <c r="A70" s="276">
        <f>A69+1</f>
        <v>67</v>
      </c>
      <c r="B70" s="276" t="s">
        <v>111</v>
      </c>
      <c r="C70" s="280">
        <f>'[1]faktímab'!AJ4</f>
        <v>5.304</v>
      </c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1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>
        <f>'[1]faktímab'!DP34+'[1]faktímab'!P34</f>
        <v>14.597999999999999</v>
      </c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>
        <v>1.5</v>
      </c>
      <c r="AS70" s="280"/>
      <c r="AT70" s="457">
        <f t="shared" si="7"/>
        <v>21.402</v>
      </c>
      <c r="AU70" s="457">
        <v>20.6</v>
      </c>
      <c r="AV70" s="458">
        <f t="shared" si="5"/>
        <v>-0.8019999999999996</v>
      </c>
      <c r="AW70" s="280">
        <v>9.897</v>
      </c>
      <c r="AX70" s="291">
        <f t="shared" si="6"/>
        <v>31.299</v>
      </c>
      <c r="AY70" s="276" t="str">
        <f t="shared" si="8"/>
        <v>SV</v>
      </c>
    </row>
    <row r="71" spans="1:51" ht="11.25">
      <c r="A71" s="276">
        <f>A70+1</f>
        <v>68</v>
      </c>
      <c r="B71" s="467" t="s">
        <v>295</v>
      </c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1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457">
        <f t="shared" si="7"/>
        <v>0</v>
      </c>
      <c r="AU71" s="457"/>
      <c r="AV71" s="458">
        <f t="shared" si="5"/>
        <v>0</v>
      </c>
      <c r="AW71" s="280"/>
      <c r="AX71" s="291">
        <f t="shared" si="6"/>
        <v>0</v>
      </c>
      <c r="AY71" s="335" t="str">
        <f t="shared" si="8"/>
        <v>SØ</v>
      </c>
    </row>
    <row r="72" spans="1:51" ht="11.25">
      <c r="A72" s="276">
        <f>A71+1</f>
        <v>69</v>
      </c>
      <c r="B72" s="276" t="s">
        <v>261</v>
      </c>
      <c r="C72" s="280"/>
      <c r="D72" s="280">
        <f>'[1]faktímab'!AP5</f>
        <v>5.82</v>
      </c>
      <c r="E72" s="280"/>
      <c r="F72" s="280"/>
      <c r="G72" s="280"/>
      <c r="H72" s="280"/>
      <c r="I72" s="280"/>
      <c r="J72" s="280"/>
      <c r="K72" s="280"/>
      <c r="L72" s="280"/>
      <c r="M72" s="280"/>
      <c r="N72" s="281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>
        <f>'[1]faktímab'!R34+'[1]faktímab'!AV34</f>
        <v>14.879</v>
      </c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90"/>
      <c r="AQ72" s="280"/>
      <c r="AR72" s="280">
        <v>1.5</v>
      </c>
      <c r="AS72" s="280"/>
      <c r="AT72" s="457">
        <f t="shared" si="7"/>
        <v>22.198999999999998</v>
      </c>
      <c r="AU72" s="457">
        <v>21.6</v>
      </c>
      <c r="AV72" s="458">
        <f t="shared" si="5"/>
        <v>-0.5989999999999966</v>
      </c>
      <c r="AW72" s="280"/>
      <c r="AX72" s="291">
        <f t="shared" si="6"/>
        <v>22.198999999999998</v>
      </c>
      <c r="AY72" s="276" t="str">
        <f t="shared" si="8"/>
        <v>TD</v>
      </c>
    </row>
    <row r="73" spans="1:51" ht="11.25">
      <c r="A73" s="276">
        <f>A72+1</f>
        <v>70</v>
      </c>
      <c r="B73" s="276" t="s">
        <v>113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1"/>
      <c r="O73" s="280"/>
      <c r="P73" s="280"/>
      <c r="Q73" s="280"/>
      <c r="R73" s="280">
        <f>'[1]faktímab'!B22+'[1]faktímab'!F22</f>
        <v>6</v>
      </c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8"/>
      <c r="AQ73" s="280"/>
      <c r="AR73" s="280"/>
      <c r="AS73" s="280"/>
      <c r="AT73" s="457">
        <f t="shared" si="7"/>
        <v>6</v>
      </c>
      <c r="AU73" s="457">
        <v>18.6</v>
      </c>
      <c r="AV73" s="458">
        <f t="shared" si="5"/>
        <v>12.600000000000001</v>
      </c>
      <c r="AW73" s="280"/>
      <c r="AX73" s="291">
        <f t="shared" si="6"/>
        <v>6</v>
      </c>
      <c r="AY73" s="276" t="str">
        <f t="shared" si="8"/>
        <v>UT</v>
      </c>
    </row>
    <row r="74" spans="2:51" ht="11.25">
      <c r="B74" s="331" t="s">
        <v>324</v>
      </c>
      <c r="C74" s="280"/>
      <c r="D74" s="280"/>
      <c r="E74" s="280">
        <f>'[1]faktímab'!CY6</f>
        <v>5.443</v>
      </c>
      <c r="F74" s="280"/>
      <c r="G74" s="280"/>
      <c r="H74" s="280"/>
      <c r="I74" s="280"/>
      <c r="J74" s="280"/>
      <c r="K74" s="280"/>
      <c r="L74" s="280"/>
      <c r="M74" s="280">
        <f>'[1]faktímab'!F16+'[1]faktímab'!N16</f>
        <v>13.748</v>
      </c>
      <c r="N74" s="281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8"/>
      <c r="AQ74" s="280"/>
      <c r="AR74" s="280"/>
      <c r="AS74" s="280"/>
      <c r="AT74" s="457">
        <f t="shared" si="7"/>
        <v>19.191</v>
      </c>
      <c r="AU74" s="457">
        <v>21.9</v>
      </c>
      <c r="AV74" s="458">
        <f t="shared" si="5"/>
        <v>2.7089999999999996</v>
      </c>
      <c r="AW74" s="280"/>
      <c r="AX74" s="291">
        <f t="shared" si="6"/>
        <v>19.191</v>
      </c>
      <c r="AY74" s="276" t="str">
        <f t="shared" si="8"/>
        <v>VO</v>
      </c>
    </row>
    <row r="75" spans="1:51" ht="11.25">
      <c r="A75" s="276">
        <f>A73+1</f>
        <v>71</v>
      </c>
      <c r="B75" s="276" t="s">
        <v>280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1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>
        <f>'[1]faktímab'!F37+'[1]faktímab'!L37+'[1]faktímab'!N37+'[1]faktímab'!P37+'[1]faktímab'!R37+'[1]faktímab'!BH37+'[1]faktímab'!EQ37</f>
        <v>17.9</v>
      </c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>
        <v>3</v>
      </c>
      <c r="AR75" s="280">
        <v>0.75</v>
      </c>
      <c r="AS75" s="280"/>
      <c r="AT75" s="457">
        <f t="shared" si="7"/>
        <v>21.65</v>
      </c>
      <c r="AU75" s="457">
        <v>20.6</v>
      </c>
      <c r="AV75" s="458">
        <f t="shared" si="5"/>
        <v>-1.0499999999999972</v>
      </c>
      <c r="AW75" s="280"/>
      <c r="AX75" s="291">
        <f t="shared" si="6"/>
        <v>21.65</v>
      </c>
      <c r="AY75" s="276" t="str">
        <f t="shared" si="8"/>
        <v>ZS</v>
      </c>
    </row>
    <row r="76" spans="1:51" ht="11.25">
      <c r="A76" s="276">
        <v>72</v>
      </c>
      <c r="B76" s="335" t="s">
        <v>292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>
        <f>'[1]faktímab'!AP15</f>
        <v>4.5</v>
      </c>
      <c r="M76" s="280"/>
      <c r="N76" s="281">
        <f>'[1]faktímab'!AJ17+'[1]faktímab'!AP17</f>
        <v>7</v>
      </c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79"/>
      <c r="AS76" s="280"/>
      <c r="AT76" s="457">
        <f t="shared" si="7"/>
        <v>11.5</v>
      </c>
      <c r="AU76" s="457"/>
      <c r="AV76" s="458"/>
      <c r="AW76" s="280"/>
      <c r="AX76" s="291">
        <f t="shared" si="6"/>
        <v>11.5</v>
      </c>
      <c r="AY76" s="335" t="str">
        <f t="shared" si="8"/>
        <v>AA</v>
      </c>
    </row>
    <row r="77" spans="1:51" ht="11.25">
      <c r="A77" s="276">
        <v>73</v>
      </c>
      <c r="B77" s="335" t="s">
        <v>304</v>
      </c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1"/>
      <c r="O77" s="280"/>
      <c r="P77" s="280"/>
      <c r="Q77" s="280"/>
      <c r="R77" s="280"/>
      <c r="S77" s="280"/>
      <c r="T77" s="280">
        <f>'[1]faktímab'!L25+'[1]faktímab'!R25</f>
        <v>8.056000000000001</v>
      </c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457">
        <f t="shared" si="7"/>
        <v>8.056000000000001</v>
      </c>
      <c r="AU77" s="457"/>
      <c r="AV77" s="458"/>
      <c r="AW77" s="280"/>
      <c r="AX77" s="291">
        <f t="shared" si="6"/>
        <v>8.056000000000001</v>
      </c>
      <c r="AY77" s="335" t="str">
        <f t="shared" si="8"/>
        <v>MG</v>
      </c>
    </row>
    <row r="78" spans="1:51" ht="11.25">
      <c r="A78" s="276">
        <v>74</v>
      </c>
      <c r="B78" s="419" t="s">
        <v>309</v>
      </c>
      <c r="C78" s="280"/>
      <c r="D78" s="280"/>
      <c r="E78" s="280"/>
      <c r="F78" s="280">
        <f>'[1]faktímab'!F7+'[1]faktímab'!EM7</f>
        <v>12.76</v>
      </c>
      <c r="G78" s="280"/>
      <c r="H78" s="280"/>
      <c r="I78" s="280"/>
      <c r="J78" s="280"/>
      <c r="K78" s="280"/>
      <c r="L78" s="280"/>
      <c r="M78" s="280">
        <f>'[1]faktímab'!AL16+'[1]faktímab'!EU16</f>
        <v>12.399000000000001</v>
      </c>
      <c r="N78" s="281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457">
        <f t="shared" si="7"/>
        <v>25.159</v>
      </c>
      <c r="AU78" s="457">
        <v>21.6</v>
      </c>
      <c r="AV78" s="458">
        <f t="shared" si="5"/>
        <v>-3.5589999999999975</v>
      </c>
      <c r="AW78" s="280"/>
      <c r="AX78" s="291">
        <f t="shared" si="6"/>
        <v>25.159</v>
      </c>
      <c r="AY78" s="335" t="s">
        <v>309</v>
      </c>
    </row>
    <row r="79" spans="1:51" ht="11.25">
      <c r="A79" s="276">
        <v>75</v>
      </c>
      <c r="B79" s="335" t="s">
        <v>306</v>
      </c>
      <c r="C79" s="280"/>
      <c r="D79" s="280"/>
      <c r="E79" s="280"/>
      <c r="F79" s="280"/>
      <c r="G79" s="280"/>
      <c r="H79" s="280"/>
      <c r="I79" s="280">
        <f>'[1]faktímab'!BF12</f>
        <v>4</v>
      </c>
      <c r="J79" s="280"/>
      <c r="K79" s="280"/>
      <c r="L79" s="280"/>
      <c r="M79" s="280"/>
      <c r="N79" s="281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457">
        <f t="shared" si="7"/>
        <v>4</v>
      </c>
      <c r="AU79" s="457"/>
      <c r="AV79" s="458"/>
      <c r="AW79" s="280"/>
      <c r="AX79" s="291">
        <f t="shared" si="6"/>
        <v>4</v>
      </c>
      <c r="AY79" s="335" t="str">
        <f t="shared" si="8"/>
        <v>JB</v>
      </c>
    </row>
    <row r="80" spans="1:51" ht="11.25">
      <c r="A80" s="276">
        <v>76</v>
      </c>
      <c r="B80" s="335" t="s">
        <v>307</v>
      </c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>
        <f>'[1]faktímab'!EW16+'[1]faktímab'!AR16</f>
        <v>11.604</v>
      </c>
      <c r="N80" s="281"/>
      <c r="O80" s="280"/>
      <c r="P80" s="280"/>
      <c r="Q80" s="280">
        <f>2+2+2</f>
        <v>6</v>
      </c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457">
        <f t="shared" si="7"/>
        <v>17.604</v>
      </c>
      <c r="AU80" s="457">
        <v>21.6</v>
      </c>
      <c r="AV80" s="458"/>
      <c r="AW80" s="280"/>
      <c r="AX80" s="291">
        <f t="shared" si="6"/>
        <v>17.604</v>
      </c>
      <c r="AY80" s="335" t="str">
        <f t="shared" si="8"/>
        <v>MK</v>
      </c>
    </row>
    <row r="81" spans="1:51" ht="11.25">
      <c r="A81" s="276">
        <v>77</v>
      </c>
      <c r="B81" s="335" t="s">
        <v>308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>
        <f>'[1]faktímab'!AT16</f>
        <v>5.261</v>
      </c>
      <c r="N81" s="281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457">
        <f>SUM(C81:AS81)</f>
        <v>5.261</v>
      </c>
      <c r="AU81" s="457"/>
      <c r="AV81" s="458"/>
      <c r="AW81" s="280"/>
      <c r="AX81" s="291">
        <f t="shared" si="6"/>
        <v>5.261</v>
      </c>
      <c r="AY81" s="335" t="str">
        <f t="shared" si="8"/>
        <v>SJ</v>
      </c>
    </row>
    <row r="82" spans="2:51" ht="11.25">
      <c r="B82" s="335" t="s">
        <v>313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1"/>
      <c r="O82" s="280"/>
      <c r="P82" s="280"/>
      <c r="Q82" s="280">
        <f>'[1]faktímab'!EQ20+6*2</f>
        <v>15</v>
      </c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>
        <f>'[1]faktímab'!CO35+'[1]faktímab'!EW35</f>
        <v>7</v>
      </c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457">
        <f>SUM(C82:AS82)</f>
        <v>22</v>
      </c>
      <c r="AU82" s="457">
        <v>21.6</v>
      </c>
      <c r="AV82" s="458">
        <f t="shared" si="5"/>
        <v>-0.3999999999999986</v>
      </c>
      <c r="AW82" s="280"/>
      <c r="AX82" s="291">
        <f t="shared" si="6"/>
        <v>22</v>
      </c>
      <c r="AY82" s="335" t="str">
        <f t="shared" si="8"/>
        <v>HM</v>
      </c>
    </row>
    <row r="83" spans="2:51" ht="11.25">
      <c r="B83" s="335" t="s">
        <v>311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1"/>
      <c r="O83" s="280"/>
      <c r="P83" s="280"/>
      <c r="Q83" s="280"/>
      <c r="R83" s="280"/>
      <c r="S83" s="280">
        <f>'[1]faktímab'!BT24</f>
        <v>4.5</v>
      </c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457">
        <f>SUM(C83:AS83)</f>
        <v>4.5</v>
      </c>
      <c r="AU83" s="457"/>
      <c r="AV83" s="458"/>
      <c r="AW83" s="280"/>
      <c r="AX83" s="291">
        <f t="shared" si="6"/>
        <v>4.5</v>
      </c>
      <c r="AY83" s="335" t="str">
        <f t="shared" si="8"/>
        <v>MI</v>
      </c>
    </row>
    <row r="84" spans="1:51" ht="11.25">
      <c r="A84" s="276">
        <v>78</v>
      </c>
      <c r="B84" s="335" t="s">
        <v>312</v>
      </c>
      <c r="C84" s="280"/>
      <c r="D84" s="280">
        <f>'[1]faktímab'!R5</f>
        <v>6.4</v>
      </c>
      <c r="E84" s="280"/>
      <c r="F84" s="280"/>
      <c r="G84" s="280"/>
      <c r="H84" s="280"/>
      <c r="I84" s="280"/>
      <c r="J84" s="280"/>
      <c r="K84" s="280"/>
      <c r="L84" s="280"/>
      <c r="M84" s="280"/>
      <c r="N84" s="281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>
        <f>'[1]faktímab'!F33</f>
        <v>5.08</v>
      </c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457">
        <f>SUM(C84:AS84)</f>
        <v>11.48</v>
      </c>
      <c r="AU84" s="457"/>
      <c r="AV84" s="458"/>
      <c r="AW84" s="280"/>
      <c r="AX84" s="291">
        <f t="shared" si="6"/>
        <v>11.48</v>
      </c>
      <c r="AY84" s="335" t="str">
        <f t="shared" si="8"/>
        <v>TH</v>
      </c>
    </row>
    <row r="85" spans="2:51" ht="11.25">
      <c r="B85" s="419" t="s">
        <v>310</v>
      </c>
      <c r="C85" s="280">
        <f>'[1]faktímab'!EO4</f>
        <v>5.84</v>
      </c>
      <c r="D85" s="280">
        <f>'[1]faktímab'!AV5+'[1]faktímab'!P5</f>
        <v>12.120000000000001</v>
      </c>
      <c r="E85" s="280"/>
      <c r="F85" s="280"/>
      <c r="G85" s="280"/>
      <c r="H85" s="280"/>
      <c r="I85" s="280"/>
      <c r="J85" s="280"/>
      <c r="K85" s="280"/>
      <c r="L85" s="280"/>
      <c r="M85" s="280"/>
      <c r="N85" s="281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>
        <f>'[1]faktímab'!D33</f>
        <v>5.26</v>
      </c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457">
        <f>SUM(C85:AS85)</f>
        <v>23.22</v>
      </c>
      <c r="AU85" s="457">
        <v>21.6</v>
      </c>
      <c r="AV85" s="458">
        <f>AU85-AT85</f>
        <v>-1.6199999999999974</v>
      </c>
      <c r="AW85" s="280"/>
      <c r="AX85" s="291">
        <f t="shared" si="6"/>
        <v>23.22</v>
      </c>
      <c r="AY85" s="335" t="str">
        <f t="shared" si="8"/>
        <v>JE</v>
      </c>
    </row>
    <row r="86" spans="1:53" ht="10.5">
      <c r="A86" s="285" t="s">
        <v>159</v>
      </c>
      <c r="C86" s="279">
        <f>SUM(C3:C85)</f>
        <v>28.663999999999998</v>
      </c>
      <c r="D86" s="279">
        <f>SUM(D3:D85)</f>
        <v>55.22</v>
      </c>
      <c r="E86" s="279">
        <f aca="true" t="shared" si="9" ref="E86:Y86">SUM(E3:E81)</f>
        <v>97.94600000000001</v>
      </c>
      <c r="F86" s="279">
        <f t="shared" si="9"/>
        <v>139.92100000000002</v>
      </c>
      <c r="G86" s="279">
        <f t="shared" si="9"/>
        <v>37.544000000000004</v>
      </c>
      <c r="H86" s="279">
        <f t="shared" si="9"/>
        <v>22.5</v>
      </c>
      <c r="I86" s="279">
        <f t="shared" si="9"/>
        <v>4</v>
      </c>
      <c r="J86" s="279">
        <f t="shared" si="9"/>
        <v>5</v>
      </c>
      <c r="K86" s="279">
        <f t="shared" si="9"/>
        <v>4</v>
      </c>
      <c r="L86" s="279">
        <f t="shared" si="9"/>
        <v>29.002000000000002</v>
      </c>
      <c r="M86" s="279">
        <f>SUM(M3:M85)</f>
        <v>165.104</v>
      </c>
      <c r="N86" s="279">
        <f t="shared" si="9"/>
        <v>35</v>
      </c>
      <c r="O86" s="279">
        <f t="shared" si="9"/>
        <v>0</v>
      </c>
      <c r="P86" s="279">
        <f t="shared" si="9"/>
        <v>4</v>
      </c>
      <c r="Q86" s="279">
        <f>SUM(Q3:Q85)</f>
        <v>58</v>
      </c>
      <c r="R86" s="279">
        <f t="shared" si="9"/>
        <v>9</v>
      </c>
      <c r="S86" s="279">
        <f>SUM(S3:S85)</f>
        <v>4.5</v>
      </c>
      <c r="T86" s="279">
        <f t="shared" si="9"/>
        <v>66.06</v>
      </c>
      <c r="U86" s="279">
        <f t="shared" si="9"/>
        <v>0</v>
      </c>
      <c r="V86" s="279">
        <f t="shared" si="9"/>
        <v>24</v>
      </c>
      <c r="W86" s="279">
        <f t="shared" si="9"/>
        <v>9</v>
      </c>
      <c r="X86" s="279">
        <f t="shared" si="9"/>
        <v>12</v>
      </c>
      <c r="Y86" s="279">
        <f t="shared" si="9"/>
        <v>37.486000000000004</v>
      </c>
      <c r="Z86" s="279">
        <f>SUM(Z3:Z85)</f>
        <v>67.56800000000001</v>
      </c>
      <c r="AA86" s="279">
        <f>SUM(AA3:AA81)</f>
        <v>0</v>
      </c>
      <c r="AB86" s="279">
        <f>SUM(AB3:AB85)</f>
        <v>131.283</v>
      </c>
      <c r="AC86" s="279">
        <f>SUM(AC3:AC85)</f>
        <v>87.506</v>
      </c>
      <c r="AD86" s="279">
        <f>SUM(AD3:AD85)</f>
        <v>4.5</v>
      </c>
      <c r="AE86" s="279">
        <f aca="true" t="shared" si="10" ref="AE86:AS86">SUM(AE3:AE81)</f>
        <v>31.642</v>
      </c>
      <c r="AF86" s="279">
        <f t="shared" si="10"/>
        <v>72.24100000000001</v>
      </c>
      <c r="AG86" s="279">
        <f t="shared" si="10"/>
        <v>0</v>
      </c>
      <c r="AH86" s="279">
        <f t="shared" si="10"/>
        <v>4.5</v>
      </c>
      <c r="AI86" s="279">
        <f t="shared" si="10"/>
        <v>0</v>
      </c>
      <c r="AJ86" s="279">
        <f t="shared" si="10"/>
        <v>0</v>
      </c>
      <c r="AK86" s="279">
        <f t="shared" si="10"/>
        <v>38.55</v>
      </c>
      <c r="AL86" s="279">
        <f t="shared" si="10"/>
        <v>3</v>
      </c>
      <c r="AM86" s="279">
        <f t="shared" si="10"/>
        <v>13</v>
      </c>
      <c r="AN86" s="279">
        <f t="shared" si="10"/>
        <v>38.2</v>
      </c>
      <c r="AO86" s="279">
        <f t="shared" si="10"/>
        <v>2</v>
      </c>
      <c r="AP86" s="279">
        <f t="shared" si="10"/>
        <v>20</v>
      </c>
      <c r="AQ86" s="279">
        <f t="shared" si="10"/>
        <v>8</v>
      </c>
      <c r="AR86" s="279">
        <f t="shared" si="10"/>
        <v>11.5</v>
      </c>
      <c r="AS86" s="279">
        <f t="shared" si="10"/>
        <v>0</v>
      </c>
      <c r="AT86" s="468">
        <f>SUM(AT3:AT85)</f>
        <v>1381.4370000000006</v>
      </c>
      <c r="AU86" s="468"/>
      <c r="AV86" s="469"/>
      <c r="AW86" s="279">
        <f>SUM(AW3:AW85)</f>
        <v>33.883</v>
      </c>
      <c r="AX86" s="279">
        <f>SUM(AX3:AX85)</f>
        <v>1393.5700000000004</v>
      </c>
      <c r="AZ86" s="470"/>
      <c r="BA86" s="279"/>
    </row>
    <row r="87" spans="1:52" s="274" customFormat="1" ht="61.5">
      <c r="A87" s="273"/>
      <c r="B87" s="273"/>
      <c r="C87" s="274" t="s">
        <v>120</v>
      </c>
      <c r="D87" s="274" t="s">
        <v>121</v>
      </c>
      <c r="E87" s="274" t="s">
        <v>122</v>
      </c>
      <c r="F87" s="274" t="s">
        <v>123</v>
      </c>
      <c r="G87" s="274" t="s">
        <v>124</v>
      </c>
      <c r="H87" s="274" t="s">
        <v>125</v>
      </c>
      <c r="I87" s="274" t="s">
        <v>126</v>
      </c>
      <c r="J87" s="274" t="s">
        <v>127</v>
      </c>
      <c r="K87" s="274" t="s">
        <v>128</v>
      </c>
      <c r="L87" s="274" t="s">
        <v>129</v>
      </c>
      <c r="M87" s="274" t="s">
        <v>130</v>
      </c>
      <c r="N87" s="274" t="s">
        <v>131</v>
      </c>
      <c r="O87" s="274" t="s">
        <v>132</v>
      </c>
      <c r="P87" s="274" t="s">
        <v>133</v>
      </c>
      <c r="Q87" s="274" t="s">
        <v>134</v>
      </c>
      <c r="R87" s="274" t="s">
        <v>135</v>
      </c>
      <c r="S87" s="274" t="s">
        <v>136</v>
      </c>
      <c r="T87" s="274" t="s">
        <v>137</v>
      </c>
      <c r="U87" s="274" t="s">
        <v>243</v>
      </c>
      <c r="V87" s="274" t="s">
        <v>138</v>
      </c>
      <c r="W87" s="274" t="s">
        <v>139</v>
      </c>
      <c r="X87" s="274" t="s">
        <v>140</v>
      </c>
      <c r="Y87" s="274" t="s">
        <v>141</v>
      </c>
      <c r="Z87" s="274" t="s">
        <v>142</v>
      </c>
      <c r="AA87" s="274" t="s">
        <v>272</v>
      </c>
      <c r="AB87" s="274" t="s">
        <v>143</v>
      </c>
      <c r="AC87" s="274" t="s">
        <v>144</v>
      </c>
      <c r="AD87" s="274" t="s">
        <v>145</v>
      </c>
      <c r="AE87" s="274" t="s">
        <v>146</v>
      </c>
      <c r="AF87" s="274" t="s">
        <v>147</v>
      </c>
      <c r="AG87" s="274" t="s">
        <v>148</v>
      </c>
      <c r="AH87" s="274" t="s">
        <v>149</v>
      </c>
      <c r="AI87" s="274" t="s">
        <v>160</v>
      </c>
      <c r="AJ87" s="274" t="s">
        <v>150</v>
      </c>
      <c r="AK87" s="275" t="s">
        <v>151</v>
      </c>
      <c r="AL87" s="274" t="s">
        <v>152</v>
      </c>
      <c r="AM87" s="274" t="s">
        <v>153</v>
      </c>
      <c r="AN87" s="274" t="s">
        <v>154</v>
      </c>
      <c r="AO87" s="274" t="s">
        <v>155</v>
      </c>
      <c r="AP87" s="274" t="s">
        <v>156</v>
      </c>
      <c r="AQ87" s="274" t="s">
        <v>157</v>
      </c>
      <c r="AR87" s="274" t="s">
        <v>158</v>
      </c>
      <c r="AT87" s="471" t="s">
        <v>159</v>
      </c>
      <c r="AU87" s="471"/>
      <c r="AV87" s="472"/>
      <c r="AW87" s="274" t="s">
        <v>274</v>
      </c>
      <c r="AX87" s="274" t="s">
        <v>159</v>
      </c>
      <c r="AY87" s="273"/>
      <c r="AZ87" s="453"/>
    </row>
    <row r="88" spans="35:52" ht="9">
      <c r="AI88" s="279">
        <v>15</v>
      </c>
      <c r="AJ88" s="279">
        <f>AJ86</f>
        <v>0</v>
      </c>
      <c r="AK88" s="280">
        <f>AK86</f>
        <v>38.55</v>
      </c>
      <c r="AL88" s="280">
        <f aca="true" t="shared" si="11" ref="AL88:AR88">AL86</f>
        <v>3</v>
      </c>
      <c r="AM88" s="280">
        <f t="shared" si="11"/>
        <v>13</v>
      </c>
      <c r="AN88" s="280">
        <f t="shared" si="11"/>
        <v>38.2</v>
      </c>
      <c r="AO88" s="280">
        <f t="shared" si="11"/>
        <v>2</v>
      </c>
      <c r="AP88" s="280">
        <f>AP91+AP92</f>
        <v>29.29703361629053</v>
      </c>
      <c r="AQ88" s="280">
        <f>'[2]Talva 2'!$G$30</f>
        <v>13</v>
      </c>
      <c r="AR88" s="280">
        <f t="shared" si="11"/>
        <v>11.5</v>
      </c>
      <c r="AZ88" s="470">
        <f>SUM(AI88:AR88)</f>
        <v>163.54703361629052</v>
      </c>
    </row>
    <row r="89" spans="46:50" ht="9">
      <c r="AT89" s="468">
        <f>AT86-AX88</f>
        <v>1381.4370000000006</v>
      </c>
      <c r="AU89" s="468"/>
      <c r="AV89" s="473"/>
      <c r="AW89" s="279"/>
      <c r="AX89" s="279">
        <f>AX86-AZ88</f>
        <v>1230.02296638371</v>
      </c>
    </row>
    <row r="91" spans="36:50" ht="9">
      <c r="AJ91" s="286"/>
      <c r="AK91" s="287"/>
      <c r="AM91" s="277" t="s">
        <v>257</v>
      </c>
      <c r="AP91" s="290">
        <f>(((0.12*76)+(0.042*('[1]faktímab'!EI3+'[1]faktímab'!FK3)))*0.474)</f>
        <v>14.694948</v>
      </c>
      <c r="AT91" s="468">
        <f>SUM(A86:AH86)</f>
        <v>1247.1870000000001</v>
      </c>
      <c r="AU91" s="468"/>
      <c r="AV91" s="473"/>
      <c r="AX91" s="279">
        <f>SUM(C86:AH86)</f>
        <v>1247.1870000000001</v>
      </c>
    </row>
    <row r="92" spans="39:42" ht="9">
      <c r="AM92" s="277" t="s">
        <v>260</v>
      </c>
      <c r="AP92" s="294">
        <f>(((0.1*93)+(0.015*76)+(0.025*('[1]faktímab'!EI3+'[1]faktímab'!FK3)))*205.43*40)/1200.43/11</f>
        <v>14.60208561629053</v>
      </c>
    </row>
    <row r="93" spans="26:51" ht="12.75">
      <c r="Z93" s="295"/>
      <c r="AA93" s="295"/>
      <c r="AM93" s="277" t="s">
        <v>258</v>
      </c>
      <c r="AP93" s="294">
        <f>((0.1*70)+(0.015*67)+(0.025*550))*184.02*40</f>
        <v>160134.204</v>
      </c>
      <c r="AQ93" s="400"/>
      <c r="AX93" s="401"/>
      <c r="AY93" s="402"/>
    </row>
  </sheetData>
  <printOptions gridLines="1" horizontalCentered="1" verticalCentered="1"/>
  <pageMargins left="0.25" right="0.17" top="0.34" bottom="0.35" header="0.15748031496062992" footer="0.22"/>
  <pageSetup horizontalDpi="600" verticalDpi="600" orientation="landscape" paperSize="8" scale="65" r:id="rId1"/>
  <headerFooter alignWithMargins="0">
    <oddHeader>&amp;C&amp;"Arial Narrow,Fed"&amp;12SKÚLAÁRIÐ 2004-2005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J43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6.7109375" style="100" customWidth="1"/>
    <col min="2" max="18" width="3.7109375" style="101" customWidth="1"/>
    <col min="19" max="19" width="4.57421875" style="101" customWidth="1"/>
    <col min="20" max="28" width="3.7109375" style="102" customWidth="1"/>
    <col min="29" max="29" width="5.7109375" style="103" customWidth="1"/>
    <col min="30" max="30" width="5.421875" style="103" customWidth="1"/>
    <col min="31" max="31" width="16.7109375" style="100" customWidth="1"/>
    <col min="32" max="33" width="3.7109375" style="101" customWidth="1"/>
    <col min="34" max="36" width="3.7109375" style="104" customWidth="1"/>
    <col min="37" max="37" width="4.421875" style="104" customWidth="1"/>
    <col min="38" max="49" width="3.7109375" style="104" customWidth="1"/>
    <col min="50" max="53" width="9.140625" style="105" customWidth="1"/>
    <col min="54" max="54" width="6.00390625" style="105" customWidth="1"/>
    <col min="55" max="55" width="5.7109375" style="106" customWidth="1"/>
    <col min="56" max="56" width="4.421875" style="165" customWidth="1"/>
    <col min="57" max="57" width="16.7109375" style="100" customWidth="1"/>
    <col min="58" max="83" width="3.7109375" style="102" customWidth="1"/>
    <col min="84" max="84" width="5.7109375" style="106" customWidth="1"/>
    <col min="85" max="85" width="3.7109375" style="107" customWidth="1"/>
    <col min="86" max="86" width="5.7109375" style="106" customWidth="1"/>
    <col min="87" max="87" width="3.7109375" style="107" customWidth="1"/>
    <col min="88" max="88" width="16.7109375" style="108" customWidth="1"/>
    <col min="89" max="89" width="3.7109375" style="101" customWidth="1"/>
    <col min="90" max="90" width="3.7109375" style="102" customWidth="1"/>
    <col min="91" max="91" width="3.7109375" style="101" customWidth="1"/>
    <col min="92" max="92" width="3.7109375" style="102" customWidth="1"/>
    <col min="93" max="93" width="3.7109375" style="101" customWidth="1"/>
    <col min="94" max="104" width="3.7109375" style="102" customWidth="1"/>
    <col min="105" max="108" width="9.140625" style="102" customWidth="1"/>
    <col min="109" max="109" width="5.7109375" style="104" customWidth="1"/>
    <col min="110" max="110" width="3.7109375" style="105" customWidth="1"/>
    <col min="111" max="111" width="16.7109375" style="108" customWidth="1"/>
    <col min="112" max="112" width="4.421875" style="102" customWidth="1"/>
    <col min="113" max="135" width="3.7109375" style="102" customWidth="1"/>
    <col min="136" max="136" width="5.7109375" style="104" customWidth="1"/>
    <col min="137" max="137" width="3.7109375" style="107" customWidth="1"/>
    <col min="138" max="138" width="5.7109375" style="104" customWidth="1"/>
    <col min="139" max="139" width="3.7109375" style="103" customWidth="1"/>
    <col min="140" max="140" width="16.7109375" style="108" customWidth="1"/>
    <col min="141" max="158" width="3.7109375" style="103" customWidth="1"/>
    <col min="159" max="159" width="4.421875" style="103" customWidth="1"/>
    <col min="160" max="166" width="3.7109375" style="103" customWidth="1"/>
    <col min="167" max="167" width="5.7109375" style="104" customWidth="1"/>
    <col min="168" max="168" width="3.7109375" style="107" customWidth="1"/>
    <col min="169" max="169" width="16.7109375" style="100" customWidth="1"/>
    <col min="170" max="170" width="5.7109375" style="103" customWidth="1"/>
    <col min="171" max="171" width="4.7109375" style="103" customWidth="1"/>
    <col min="172" max="172" width="5.7109375" style="106" customWidth="1"/>
    <col min="173" max="173" width="4.7109375" style="107" customWidth="1"/>
    <col min="174" max="174" width="5.7109375" style="106" customWidth="1"/>
    <col min="175" max="175" width="4.7109375" style="107" customWidth="1"/>
    <col min="176" max="176" width="5.7109375" style="106" customWidth="1"/>
    <col min="177" max="177" width="4.7109375" style="107" customWidth="1"/>
    <col min="178" max="178" width="5.7109375" style="104" customWidth="1"/>
    <col min="179" max="179" width="4.7109375" style="105" customWidth="1"/>
    <col min="180" max="180" width="5.7109375" style="104" customWidth="1"/>
    <col min="181" max="181" width="4.7109375" style="105" customWidth="1"/>
    <col min="182" max="182" width="5.7109375" style="104" customWidth="1"/>
    <col min="183" max="183" width="4.7109375" style="105" customWidth="1"/>
    <col min="184" max="184" width="6.421875" style="104" customWidth="1"/>
    <col min="185" max="185" width="4.7109375" style="105" customWidth="1"/>
    <col min="186" max="186" width="5.8515625" style="27" customWidth="1"/>
    <col min="187" max="187" width="5.28125" style="27" customWidth="1"/>
    <col min="188" max="188" width="2.00390625" style="28" customWidth="1"/>
    <col min="189" max="189" width="7.28125" style="15" customWidth="1"/>
    <col min="190" max="190" width="4.57421875" style="91" customWidth="1"/>
    <col min="191" max="191" width="4.8515625" style="292" customWidth="1"/>
    <col min="192" max="192" width="4.7109375" style="292" customWidth="1"/>
  </cols>
  <sheetData>
    <row r="1" spans="167:192" ht="12.75">
      <c r="FK1" s="109" t="s">
        <v>162</v>
      </c>
      <c r="FL1" s="110"/>
      <c r="FN1" s="111" t="s">
        <v>163</v>
      </c>
      <c r="FO1" s="112"/>
      <c r="FP1" s="113" t="s">
        <v>164</v>
      </c>
      <c r="FQ1" s="114"/>
      <c r="FR1" s="115" t="s">
        <v>165</v>
      </c>
      <c r="FS1" s="114"/>
      <c r="FT1" s="115" t="s">
        <v>166</v>
      </c>
      <c r="FU1" s="110"/>
      <c r="FV1" s="109" t="s">
        <v>167</v>
      </c>
      <c r="FW1" s="116"/>
      <c r="FX1" s="117" t="s">
        <v>168</v>
      </c>
      <c r="FY1" s="116"/>
      <c r="FZ1" s="117" t="s">
        <v>169</v>
      </c>
      <c r="GA1" s="118"/>
      <c r="GB1" s="109" t="s">
        <v>170</v>
      </c>
      <c r="GC1" s="118"/>
      <c r="GD1" s="179" t="s">
        <v>162</v>
      </c>
      <c r="GE1" s="180"/>
      <c r="GG1" s="167" t="s">
        <v>57</v>
      </c>
      <c r="GH1" s="183"/>
      <c r="GJ1" s="540" t="s">
        <v>254</v>
      </c>
    </row>
    <row r="2" spans="1:192" ht="12.75">
      <c r="A2" s="119"/>
      <c r="B2" s="120" t="s">
        <v>171</v>
      </c>
      <c r="C2" s="121">
        <v>22</v>
      </c>
      <c r="D2" s="120" t="s">
        <v>172</v>
      </c>
      <c r="E2" s="121">
        <v>21</v>
      </c>
      <c r="F2" s="120" t="s">
        <v>173</v>
      </c>
      <c r="G2" s="121"/>
      <c r="H2" s="120" t="s">
        <v>174</v>
      </c>
      <c r="I2" s="121"/>
      <c r="J2" s="354"/>
      <c r="K2" s="355"/>
      <c r="L2" s="127" t="s">
        <v>175</v>
      </c>
      <c r="M2" s="121">
        <v>8</v>
      </c>
      <c r="N2" s="120" t="s">
        <v>176</v>
      </c>
      <c r="O2" s="121">
        <v>24</v>
      </c>
      <c r="P2" s="120" t="s">
        <v>177</v>
      </c>
      <c r="Q2" s="121">
        <v>24</v>
      </c>
      <c r="R2" s="120" t="s">
        <v>178</v>
      </c>
      <c r="S2" s="121">
        <v>24</v>
      </c>
      <c r="T2" s="122"/>
      <c r="U2" s="122"/>
      <c r="V2" s="122"/>
      <c r="W2" s="122"/>
      <c r="X2" s="122"/>
      <c r="Y2" s="122"/>
      <c r="Z2" s="122"/>
      <c r="AA2" s="122"/>
      <c r="AB2" s="122"/>
      <c r="AC2" s="123" t="s">
        <v>179</v>
      </c>
      <c r="AD2" s="123" t="s">
        <v>179</v>
      </c>
      <c r="AE2" s="122"/>
      <c r="AF2" s="120" t="s">
        <v>275</v>
      </c>
      <c r="AG2" s="121"/>
      <c r="AH2" s="120" t="s">
        <v>276</v>
      </c>
      <c r="AI2" s="121"/>
      <c r="AJ2" s="120" t="s">
        <v>284</v>
      </c>
      <c r="AK2" s="121">
        <v>5</v>
      </c>
      <c r="AL2" s="120" t="s">
        <v>277</v>
      </c>
      <c r="AM2" s="121"/>
      <c r="AN2" s="120"/>
      <c r="AO2" s="121"/>
      <c r="AP2" s="120" t="s">
        <v>262</v>
      </c>
      <c r="AQ2" s="121">
        <v>18</v>
      </c>
      <c r="AR2" s="120" t="s">
        <v>271</v>
      </c>
      <c r="AS2" s="121">
        <v>12</v>
      </c>
      <c r="AT2" s="120" t="s">
        <v>263</v>
      </c>
      <c r="AU2" s="121"/>
      <c r="AV2" s="120" t="s">
        <v>318</v>
      </c>
      <c r="AW2" s="121"/>
      <c r="AX2" s="107"/>
      <c r="AY2" s="107"/>
      <c r="AZ2" s="107"/>
      <c r="BA2" s="107"/>
      <c r="BB2" s="107"/>
      <c r="BC2" s="124" t="s">
        <v>179</v>
      </c>
      <c r="BD2" s="172" t="s">
        <v>179</v>
      </c>
      <c r="BE2" s="126"/>
      <c r="BF2" s="120" t="s">
        <v>180</v>
      </c>
      <c r="BG2" s="121">
        <v>12</v>
      </c>
      <c r="BH2" s="296" t="s">
        <v>181</v>
      </c>
      <c r="BI2" s="121">
        <v>5</v>
      </c>
      <c r="BJ2" s="120" t="s">
        <v>109</v>
      </c>
      <c r="BK2" s="121">
        <v>18</v>
      </c>
      <c r="BL2" s="120" t="s">
        <v>182</v>
      </c>
      <c r="BM2" s="121">
        <v>20</v>
      </c>
      <c r="BN2" s="120" t="s">
        <v>183</v>
      </c>
      <c r="BO2" s="121">
        <v>19</v>
      </c>
      <c r="BP2" s="120" t="s">
        <v>184</v>
      </c>
      <c r="BQ2" s="127">
        <v>12</v>
      </c>
      <c r="BR2" s="120" t="s">
        <v>211</v>
      </c>
      <c r="BS2" s="121">
        <v>17</v>
      </c>
      <c r="BT2" s="127" t="s">
        <v>186</v>
      </c>
      <c r="BU2" s="127">
        <v>16</v>
      </c>
      <c r="BV2" s="120" t="s">
        <v>187</v>
      </c>
      <c r="BW2" s="121">
        <v>16</v>
      </c>
      <c r="BX2" s="127" t="s">
        <v>188</v>
      </c>
      <c r="BY2" s="121">
        <v>11</v>
      </c>
      <c r="BZ2" s="296" t="s">
        <v>297</v>
      </c>
      <c r="CA2" s="405">
        <v>12</v>
      </c>
      <c r="CB2" s="348" t="s">
        <v>319</v>
      </c>
      <c r="CC2" s="348">
        <v>14</v>
      </c>
      <c r="CD2" s="296" t="s">
        <v>201</v>
      </c>
      <c r="CE2" s="405">
        <v>13</v>
      </c>
      <c r="CF2" s="125" t="s">
        <v>179</v>
      </c>
      <c r="CG2" s="125" t="s">
        <v>179</v>
      </c>
      <c r="CH2" s="124" t="s">
        <v>179</v>
      </c>
      <c r="CI2" s="125" t="s">
        <v>179</v>
      </c>
      <c r="CJ2" s="128"/>
      <c r="CK2" s="129"/>
      <c r="CL2" s="121"/>
      <c r="CM2" s="129" t="s">
        <v>189</v>
      </c>
      <c r="CN2" s="121"/>
      <c r="CO2" s="129" t="s">
        <v>190</v>
      </c>
      <c r="CP2" s="121"/>
      <c r="CQ2" s="129" t="s">
        <v>191</v>
      </c>
      <c r="CR2" s="121" t="s">
        <v>0</v>
      </c>
      <c r="CS2" s="129"/>
      <c r="CT2" s="121"/>
      <c r="CU2" s="120" t="s">
        <v>192</v>
      </c>
      <c r="CV2" s="121"/>
      <c r="CW2" s="120" t="s">
        <v>296</v>
      </c>
      <c r="CX2" s="121"/>
      <c r="CY2" s="120" t="s">
        <v>193</v>
      </c>
      <c r="CZ2" s="121" t="s">
        <v>0</v>
      </c>
      <c r="DA2" s="127"/>
      <c r="DB2" s="127"/>
      <c r="DC2" s="127"/>
      <c r="DD2" s="127"/>
      <c r="DE2" s="125" t="s">
        <v>179</v>
      </c>
      <c r="DF2" s="125" t="s">
        <v>179</v>
      </c>
      <c r="DG2" s="128"/>
      <c r="DH2" s="296" t="s">
        <v>194</v>
      </c>
      <c r="DI2" s="121">
        <v>21</v>
      </c>
      <c r="DJ2" s="120" t="s">
        <v>195</v>
      </c>
      <c r="DK2" s="121"/>
      <c r="DL2" s="120" t="s">
        <v>196</v>
      </c>
      <c r="DM2" s="121">
        <v>16</v>
      </c>
      <c r="DN2" s="120" t="s">
        <v>197</v>
      </c>
      <c r="DO2" s="121"/>
      <c r="DP2" s="120" t="s">
        <v>182</v>
      </c>
      <c r="DQ2" s="121">
        <v>18</v>
      </c>
      <c r="DR2" s="120" t="s">
        <v>198</v>
      </c>
      <c r="DS2" s="121">
        <v>11</v>
      </c>
      <c r="DT2" s="120" t="s">
        <v>199</v>
      </c>
      <c r="DU2" s="121">
        <v>13</v>
      </c>
      <c r="DV2" s="120" t="s">
        <v>109</v>
      </c>
      <c r="DW2" s="127">
        <v>14</v>
      </c>
      <c r="DX2" s="120" t="s">
        <v>200</v>
      </c>
      <c r="DY2" s="121">
        <v>12</v>
      </c>
      <c r="DZ2" s="127"/>
      <c r="EA2" s="121"/>
      <c r="EB2" s="120"/>
      <c r="EC2" s="121"/>
      <c r="ED2" s="120"/>
      <c r="EE2" s="121"/>
      <c r="EF2" s="124" t="s">
        <v>179</v>
      </c>
      <c r="EG2" s="125" t="s">
        <v>179</v>
      </c>
      <c r="EH2" s="130" t="s">
        <v>202</v>
      </c>
      <c r="EI2" s="125" t="s">
        <v>179</v>
      </c>
      <c r="EJ2" s="128"/>
      <c r="EK2" s="120" t="s">
        <v>203</v>
      </c>
      <c r="EL2" s="121"/>
      <c r="EM2" s="120" t="s">
        <v>204</v>
      </c>
      <c r="EN2" s="121"/>
      <c r="EO2" s="120" t="s">
        <v>35</v>
      </c>
      <c r="EP2" s="121">
        <v>20</v>
      </c>
      <c r="EQ2" s="120" t="s">
        <v>35</v>
      </c>
      <c r="ER2" s="121"/>
      <c r="ES2" s="120" t="s">
        <v>35</v>
      </c>
      <c r="ET2" s="121">
        <v>7</v>
      </c>
      <c r="EU2" s="120" t="s">
        <v>205</v>
      </c>
      <c r="EV2" s="121"/>
      <c r="EW2" s="120" t="s">
        <v>206</v>
      </c>
      <c r="EX2" s="121"/>
      <c r="EY2" s="120"/>
      <c r="EZ2" s="121"/>
      <c r="FA2" s="120" t="s">
        <v>37</v>
      </c>
      <c r="FB2" s="127">
        <v>6</v>
      </c>
      <c r="FC2" s="406" t="s">
        <v>320</v>
      </c>
      <c r="FD2" s="407">
        <f>EK3+EM3</f>
        <v>44</v>
      </c>
      <c r="FE2" s="127"/>
      <c r="FF2" s="121"/>
      <c r="FG2" s="120" t="s">
        <v>183</v>
      </c>
      <c r="FH2" s="121">
        <v>19</v>
      </c>
      <c r="FI2" s="120" t="s">
        <v>207</v>
      </c>
      <c r="FJ2" s="121">
        <v>6</v>
      </c>
      <c r="FK2" s="124" t="s">
        <v>179</v>
      </c>
      <c r="FL2" s="125" t="s">
        <v>179</v>
      </c>
      <c r="FM2" s="126" t="s">
        <v>208</v>
      </c>
      <c r="FN2" s="123" t="s">
        <v>209</v>
      </c>
      <c r="FO2" s="123" t="s">
        <v>210</v>
      </c>
      <c r="FP2" s="123" t="s">
        <v>209</v>
      </c>
      <c r="FQ2" s="123" t="s">
        <v>210</v>
      </c>
      <c r="FR2" s="123" t="s">
        <v>209</v>
      </c>
      <c r="FS2" s="123" t="s">
        <v>210</v>
      </c>
      <c r="FT2" s="123" t="s">
        <v>209</v>
      </c>
      <c r="FU2" s="123" t="s">
        <v>210</v>
      </c>
      <c r="FV2" s="123" t="s">
        <v>209</v>
      </c>
      <c r="FW2" s="123" t="s">
        <v>210</v>
      </c>
      <c r="FX2" s="123" t="s">
        <v>209</v>
      </c>
      <c r="FY2" s="123" t="s">
        <v>210</v>
      </c>
      <c r="FZ2" s="123" t="s">
        <v>209</v>
      </c>
      <c r="GA2" s="123" t="s">
        <v>210</v>
      </c>
      <c r="GB2" s="123" t="s">
        <v>209</v>
      </c>
      <c r="GC2" s="123" t="s">
        <v>210</v>
      </c>
      <c r="GD2" s="123" t="s">
        <v>209</v>
      </c>
      <c r="GE2" s="123" t="s">
        <v>210</v>
      </c>
      <c r="GF2" s="176"/>
      <c r="GG2" s="123" t="s">
        <v>209</v>
      </c>
      <c r="GH2" s="123" t="s">
        <v>210</v>
      </c>
      <c r="GJ2" s="540"/>
    </row>
    <row r="3" spans="1:192" ht="12.75">
      <c r="A3" s="119"/>
      <c r="B3" s="131">
        <v>22</v>
      </c>
      <c r="C3" s="132"/>
      <c r="D3" s="131">
        <v>21</v>
      </c>
      <c r="E3" s="132"/>
      <c r="F3" s="131">
        <v>18</v>
      </c>
      <c r="G3" s="132">
        <v>16</v>
      </c>
      <c r="H3" s="408">
        <v>21</v>
      </c>
      <c r="I3" s="132"/>
      <c r="J3" s="409">
        <f>SUM(B3+D3+F3)</f>
        <v>61</v>
      </c>
      <c r="K3" s="410"/>
      <c r="L3" s="137">
        <v>24</v>
      </c>
      <c r="M3" s="132">
        <v>14</v>
      </c>
      <c r="N3" s="131">
        <v>24</v>
      </c>
      <c r="O3" s="132"/>
      <c r="P3" s="131">
        <v>24</v>
      </c>
      <c r="Q3" s="132"/>
      <c r="R3" s="131">
        <v>24</v>
      </c>
      <c r="S3" s="132"/>
      <c r="T3" s="411">
        <f>SUM(L3+N3+P3+R3)</f>
        <v>96</v>
      </c>
      <c r="U3" s="122"/>
      <c r="V3" s="122"/>
      <c r="W3" s="122"/>
      <c r="X3" s="122"/>
      <c r="Y3" s="122"/>
      <c r="Z3" s="122"/>
      <c r="AA3" s="122"/>
      <c r="AB3" s="122"/>
      <c r="AC3" s="133">
        <f>SUM(B3+D3+F3+L3+N3+P3+R3)</f>
        <v>157</v>
      </c>
      <c r="AD3" s="133"/>
      <c r="AE3" s="122"/>
      <c r="AF3" s="131">
        <v>17</v>
      </c>
      <c r="AG3" s="132"/>
      <c r="AH3" s="131">
        <v>22</v>
      </c>
      <c r="AI3" s="132"/>
      <c r="AJ3" s="131">
        <v>12</v>
      </c>
      <c r="AK3" s="132">
        <v>15</v>
      </c>
      <c r="AL3" s="131">
        <v>21</v>
      </c>
      <c r="AM3" s="132"/>
      <c r="AN3" s="409">
        <f>SUM(AF3+AH3+AJ3+AL3)</f>
        <v>72</v>
      </c>
      <c r="AO3" s="132"/>
      <c r="AP3" s="131">
        <v>22</v>
      </c>
      <c r="AQ3" s="132">
        <v>7</v>
      </c>
      <c r="AR3" s="131">
        <v>16</v>
      </c>
      <c r="AS3" s="132"/>
      <c r="AT3" s="131">
        <v>19</v>
      </c>
      <c r="AU3" s="132"/>
      <c r="AV3" s="131">
        <v>21</v>
      </c>
      <c r="AW3" s="132"/>
      <c r="AX3" s="412">
        <f>SUM(AP3+AR3+AT3+AV3)</f>
        <v>78</v>
      </c>
      <c r="AY3" s="412"/>
      <c r="AZ3" s="107"/>
      <c r="BA3" s="107"/>
      <c r="BB3" s="107"/>
      <c r="BC3" s="134">
        <f>SUM(AF3+AH3+AJ3+AL3+AP3+AR3+AT3+AV3)</f>
        <v>150</v>
      </c>
      <c r="BD3" s="134"/>
      <c r="BE3" s="136"/>
      <c r="BF3" s="131" t="s">
        <v>298</v>
      </c>
      <c r="BG3" s="132">
        <v>7</v>
      </c>
      <c r="BH3" s="131" t="s">
        <v>199</v>
      </c>
      <c r="BI3" s="132">
        <v>24</v>
      </c>
      <c r="BJ3" s="131" t="s">
        <v>109</v>
      </c>
      <c r="BK3" s="132">
        <v>18</v>
      </c>
      <c r="BL3" s="131" t="s">
        <v>182</v>
      </c>
      <c r="BM3" s="132">
        <v>20</v>
      </c>
      <c r="BN3" s="131" t="s">
        <v>183</v>
      </c>
      <c r="BO3" s="132">
        <v>19</v>
      </c>
      <c r="BP3" s="131"/>
      <c r="BQ3" s="137"/>
      <c r="BR3" s="131" t="s">
        <v>215</v>
      </c>
      <c r="BS3" s="132">
        <v>11</v>
      </c>
      <c r="BT3" s="137" t="s">
        <v>212</v>
      </c>
      <c r="BU3" s="137">
        <v>9</v>
      </c>
      <c r="BV3" s="131" t="s">
        <v>187</v>
      </c>
      <c r="BW3" s="132">
        <v>16</v>
      </c>
      <c r="BX3" s="137" t="s">
        <v>185</v>
      </c>
      <c r="BY3" s="132">
        <v>8</v>
      </c>
      <c r="BZ3" s="352" t="s">
        <v>321</v>
      </c>
      <c r="CA3" s="413">
        <v>5</v>
      </c>
      <c r="CB3" s="198"/>
      <c r="CC3" s="198"/>
      <c r="CD3" s="352" t="s">
        <v>201</v>
      </c>
      <c r="CE3" s="413">
        <v>13</v>
      </c>
      <c r="CF3" s="135" t="s">
        <v>213</v>
      </c>
      <c r="CG3" s="135"/>
      <c r="CH3" s="138" t="s">
        <v>214</v>
      </c>
      <c r="CI3" s="135"/>
      <c r="CJ3" s="128"/>
      <c r="CK3" s="131"/>
      <c r="CL3" s="132"/>
      <c r="CM3" s="131">
        <v>23</v>
      </c>
      <c r="CN3" s="132"/>
      <c r="CO3" s="131">
        <v>24</v>
      </c>
      <c r="CP3" s="132"/>
      <c r="CQ3" s="131">
        <v>24</v>
      </c>
      <c r="CR3" s="132" t="s">
        <v>0</v>
      </c>
      <c r="CS3" s="409">
        <f>CK3+CM3+CO3+CQ3</f>
        <v>71</v>
      </c>
      <c r="CT3" s="132"/>
      <c r="CU3" s="131">
        <v>21</v>
      </c>
      <c r="CV3" s="132"/>
      <c r="CW3" s="131">
        <v>20</v>
      </c>
      <c r="CX3" s="132"/>
      <c r="CY3" s="131">
        <v>22</v>
      </c>
      <c r="CZ3" s="132"/>
      <c r="DA3" s="414">
        <f>CU3+CW3+CY3</f>
        <v>63</v>
      </c>
      <c r="DB3" s="137"/>
      <c r="DC3" s="137"/>
      <c r="DD3" s="137"/>
      <c r="DE3" s="135">
        <f>SUM(CK3+CM3+CO3+CQ3+CU3+CW3+CY3)</f>
        <v>134</v>
      </c>
      <c r="DF3" s="135"/>
      <c r="DG3" s="128"/>
      <c r="DH3" s="131" t="s">
        <v>322</v>
      </c>
      <c r="DI3" s="132">
        <v>10</v>
      </c>
      <c r="DJ3" s="131">
        <v>18</v>
      </c>
      <c r="DK3" s="132">
        <v>19</v>
      </c>
      <c r="DL3" s="131">
        <v>16</v>
      </c>
      <c r="DM3" s="132">
        <v>16</v>
      </c>
      <c r="DN3" s="344">
        <v>17</v>
      </c>
      <c r="DO3" s="343"/>
      <c r="DP3" s="352" t="s">
        <v>181</v>
      </c>
      <c r="DQ3" s="132">
        <v>13</v>
      </c>
      <c r="DR3" s="131"/>
      <c r="DS3" s="132"/>
      <c r="DT3" s="131" t="s">
        <v>109</v>
      </c>
      <c r="DU3" s="132">
        <v>15</v>
      </c>
      <c r="DV3" s="131" t="s">
        <v>216</v>
      </c>
      <c r="DW3" s="137">
        <v>23</v>
      </c>
      <c r="DX3" s="131" t="s">
        <v>200</v>
      </c>
      <c r="DY3" s="132">
        <v>12</v>
      </c>
      <c r="DZ3" s="137" t="s">
        <v>180</v>
      </c>
      <c r="EA3" s="132">
        <v>8</v>
      </c>
      <c r="EB3" s="131"/>
      <c r="EC3" s="132"/>
      <c r="ED3" s="131"/>
      <c r="EE3" s="132"/>
      <c r="EF3" s="138">
        <f>SUM(DH3:DZ3)</f>
        <v>159</v>
      </c>
      <c r="EG3" s="135"/>
      <c r="EH3" s="139" t="s">
        <v>217</v>
      </c>
      <c r="EI3" s="134">
        <f>DE3+BC3+AC3</f>
        <v>441</v>
      </c>
      <c r="EJ3" s="128"/>
      <c r="EK3" s="131">
        <v>22</v>
      </c>
      <c r="EL3" s="132"/>
      <c r="EM3" s="131">
        <v>22</v>
      </c>
      <c r="EN3" s="132"/>
      <c r="EO3" s="131">
        <v>20</v>
      </c>
      <c r="EP3" s="132">
        <v>21</v>
      </c>
      <c r="EQ3" s="131"/>
      <c r="ER3" s="132">
        <v>8</v>
      </c>
      <c r="ES3" s="131"/>
      <c r="ET3" s="132">
        <v>17</v>
      </c>
      <c r="EU3" s="131">
        <v>19</v>
      </c>
      <c r="EV3" s="132"/>
      <c r="EW3" s="131">
        <v>17</v>
      </c>
      <c r="EX3" s="132"/>
      <c r="EY3" s="131"/>
      <c r="EZ3" s="132"/>
      <c r="FA3" s="131">
        <v>18</v>
      </c>
      <c r="FB3" s="137">
        <v>5</v>
      </c>
      <c r="FC3" s="415" t="s">
        <v>323</v>
      </c>
      <c r="FD3" s="416">
        <f>EU3+EW3</f>
        <v>36</v>
      </c>
      <c r="FE3" s="137"/>
      <c r="FF3" s="132"/>
      <c r="FG3" s="131"/>
      <c r="FH3" s="132"/>
      <c r="FI3" s="131"/>
      <c r="FJ3" s="132"/>
      <c r="FK3" s="134">
        <f>SUM(EK3+EM3+EU3+EW3)</f>
        <v>80</v>
      </c>
      <c r="FL3" s="135" t="s">
        <v>0</v>
      </c>
      <c r="FM3" s="136"/>
      <c r="FN3" s="133" t="s">
        <v>179</v>
      </c>
      <c r="FO3" s="133" t="s">
        <v>179</v>
      </c>
      <c r="FP3" s="133" t="s">
        <v>179</v>
      </c>
      <c r="FQ3" s="133" t="s">
        <v>179</v>
      </c>
      <c r="FR3" s="133" t="s">
        <v>179</v>
      </c>
      <c r="FS3" s="133" t="s">
        <v>179</v>
      </c>
      <c r="FT3" s="133" t="s">
        <v>179</v>
      </c>
      <c r="FU3" s="133" t="s">
        <v>179</v>
      </c>
      <c r="FV3" s="133" t="s">
        <v>179</v>
      </c>
      <c r="FW3" s="133" t="s">
        <v>179</v>
      </c>
      <c r="FX3" s="133" t="s">
        <v>179</v>
      </c>
      <c r="FY3" s="133" t="s">
        <v>179</v>
      </c>
      <c r="FZ3" s="133" t="s">
        <v>179</v>
      </c>
      <c r="GA3" s="133" t="s">
        <v>179</v>
      </c>
      <c r="GB3" s="133" t="s">
        <v>179</v>
      </c>
      <c r="GC3" s="133" t="s">
        <v>179</v>
      </c>
      <c r="GD3" s="133" t="s">
        <v>179</v>
      </c>
      <c r="GE3" s="133" t="s">
        <v>179</v>
      </c>
      <c r="GF3" s="176"/>
      <c r="GG3" s="133" t="s">
        <v>179</v>
      </c>
      <c r="GH3" s="133" t="s">
        <v>179</v>
      </c>
      <c r="GJ3" s="540"/>
    </row>
    <row r="4" spans="1:192" ht="12.75">
      <c r="A4" s="100" t="s">
        <v>120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8"/>
      <c r="U4" s="148"/>
      <c r="V4" s="148"/>
      <c r="W4" s="148"/>
      <c r="X4" s="148"/>
      <c r="Y4" s="148"/>
      <c r="Z4" s="148"/>
      <c r="AA4" s="148"/>
      <c r="AB4" s="148"/>
      <c r="AC4" s="141">
        <f aca="true" t="shared" si="0" ref="AC4:AC37">SUM(B4:AB4)</f>
        <v>0</v>
      </c>
      <c r="AD4" s="142">
        <v>0</v>
      </c>
      <c r="AE4" s="100" t="s">
        <v>120</v>
      </c>
      <c r="AF4" s="109">
        <f>IF(AND(AF3&lt;&gt;0,AF3*0.067&gt;=0.5),4.5+(AF3*0.067),5)</f>
        <v>5.639</v>
      </c>
      <c r="AG4" s="368" t="s">
        <v>279</v>
      </c>
      <c r="AH4" s="109">
        <f>IF(AND(AH3&lt;&gt;0,AH3*0.067&gt;=0.5),4.5+(AH3*0.067),5)</f>
        <v>5.974</v>
      </c>
      <c r="AI4" s="370" t="s">
        <v>252</v>
      </c>
      <c r="AJ4" s="109">
        <f>IF(AND(AJ3&lt;&gt;0,AJ3*0.067&gt;=0.5),4.5+(AJ3*0.067),5)</f>
        <v>5.304</v>
      </c>
      <c r="AK4" s="367" t="s">
        <v>111</v>
      </c>
      <c r="AL4" s="109">
        <f>IF(AND(AL3&lt;&gt;0,AL3*0.067&gt;=0.5),4.5+(AL3*0.067),5)</f>
        <v>5.907</v>
      </c>
      <c r="AM4" s="375" t="s">
        <v>252</v>
      </c>
      <c r="AN4" s="109"/>
      <c r="AO4" s="330"/>
      <c r="AP4" s="144"/>
      <c r="AQ4" s="144"/>
      <c r="AR4" s="144"/>
      <c r="AS4" s="144"/>
      <c r="AT4" s="144"/>
      <c r="AU4" s="144"/>
      <c r="AV4" s="144"/>
      <c r="AW4" s="144"/>
      <c r="AX4" s="148"/>
      <c r="AY4" s="148"/>
      <c r="AZ4" s="148"/>
      <c r="BA4" s="148"/>
      <c r="BB4" s="148"/>
      <c r="BC4" s="138">
        <f aca="true" t="shared" si="1" ref="BC4:BC42">SUM(AF4:BB4)</f>
        <v>22.824</v>
      </c>
      <c r="BD4" s="158">
        <f>4*4</f>
        <v>16</v>
      </c>
      <c r="BE4" s="100" t="s">
        <v>120</v>
      </c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6">
        <f>SUM(BF4:CE4)</f>
        <v>0</v>
      </c>
      <c r="CG4" s="147">
        <v>0</v>
      </c>
      <c r="CH4" s="146">
        <f aca="true" t="shared" si="2" ref="CH4:CI19">SUM(BC4+CF4)</f>
        <v>22.824</v>
      </c>
      <c r="CI4" s="145">
        <f t="shared" si="2"/>
        <v>16</v>
      </c>
      <c r="CJ4" s="108" t="s">
        <v>120</v>
      </c>
      <c r="CK4" s="144"/>
      <c r="CL4" s="148"/>
      <c r="CM4" s="144"/>
      <c r="CN4" s="148"/>
      <c r="CO4" s="144"/>
      <c r="CP4" s="148"/>
      <c r="CQ4" s="144"/>
      <c r="CR4" s="148"/>
      <c r="CS4" s="144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1">
        <f aca="true" t="shared" si="3" ref="DE4:DE37">SUM(CK4:DD4)</f>
        <v>0</v>
      </c>
      <c r="DF4" s="142">
        <v>0</v>
      </c>
      <c r="DG4" s="108" t="s">
        <v>120</v>
      </c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1">
        <f>SUM(DH4:EE4)</f>
        <v>0</v>
      </c>
      <c r="EG4" s="147">
        <v>0</v>
      </c>
      <c r="EH4" s="141">
        <f aca="true" t="shared" si="4" ref="EH4:EI23">SUM(DE4+EF4)</f>
        <v>0</v>
      </c>
      <c r="EI4" s="142">
        <f t="shared" si="4"/>
        <v>0</v>
      </c>
      <c r="EJ4" s="108" t="s">
        <v>120</v>
      </c>
      <c r="EK4" s="148"/>
      <c r="EL4" s="148"/>
      <c r="EM4" s="148"/>
      <c r="EN4" s="148"/>
      <c r="EO4" s="185">
        <f>IF(AND(EO3&lt;&gt;0,EO3*0.067&gt;=0.5),4.5+(EO3*0.067),5)</f>
        <v>5.84</v>
      </c>
      <c r="EP4" s="332" t="s">
        <v>310</v>
      </c>
      <c r="EQ4" s="185"/>
      <c r="ER4" s="332"/>
      <c r="ES4" s="185"/>
      <c r="ET4" s="332"/>
      <c r="EU4" s="148"/>
      <c r="EV4" s="148"/>
      <c r="EW4" s="148"/>
      <c r="EX4" s="148"/>
      <c r="EY4" s="148"/>
      <c r="EZ4" s="148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1">
        <f aca="true" t="shared" si="5" ref="FK4:FK42">SUM(EK4:FJ4)</f>
        <v>5.84</v>
      </c>
      <c r="FL4" s="147">
        <v>4</v>
      </c>
      <c r="FM4" s="100" t="s">
        <v>120</v>
      </c>
      <c r="FN4" s="141">
        <f aca="true" t="shared" si="6" ref="FN4:FN43">$AC4</f>
        <v>0</v>
      </c>
      <c r="FO4" s="142">
        <f aca="true" t="shared" si="7" ref="FO4:FO43">$AD4</f>
        <v>0</v>
      </c>
      <c r="FP4" s="138">
        <f aca="true" t="shared" si="8" ref="FP4:FP43">$BC4</f>
        <v>22.824</v>
      </c>
      <c r="FQ4" s="145">
        <f aca="true" t="shared" si="9" ref="FQ4:FQ43">$BD4</f>
        <v>16</v>
      </c>
      <c r="FR4" s="146">
        <f aca="true" t="shared" si="10" ref="FR4:FR43">$CF4</f>
        <v>0</v>
      </c>
      <c r="FS4" s="147">
        <f aca="true" t="shared" si="11" ref="FS4:FS43">$CG4</f>
        <v>0</v>
      </c>
      <c r="FT4" s="146">
        <f aca="true" t="shared" si="12" ref="FT4:FT43">$CH4</f>
        <v>22.824</v>
      </c>
      <c r="FU4" s="145">
        <f aca="true" t="shared" si="13" ref="FU4:FU43">$CI4</f>
        <v>16</v>
      </c>
      <c r="FV4" s="141">
        <f aca="true" t="shared" si="14" ref="FV4:FV43">$DE4</f>
        <v>0</v>
      </c>
      <c r="FW4" s="142">
        <f aca="true" t="shared" si="15" ref="FW4:FW43">$DF4</f>
        <v>0</v>
      </c>
      <c r="FX4" s="141">
        <f aca="true" t="shared" si="16" ref="FX4:FX43">$EF4</f>
        <v>0</v>
      </c>
      <c r="FY4" s="142">
        <f aca="true" t="shared" si="17" ref="FY4:FY43">$EG4</f>
        <v>0</v>
      </c>
      <c r="FZ4" s="141">
        <f aca="true" t="shared" si="18" ref="FZ4:FZ43">$EH4</f>
        <v>0</v>
      </c>
      <c r="GA4" s="142">
        <f aca="true" t="shared" si="19" ref="GA4:GA43">$EI4</f>
        <v>0</v>
      </c>
      <c r="GB4" s="141">
        <f aca="true" t="shared" si="20" ref="GB4:GB42">SUM(FN4+FT4+FZ4)</f>
        <v>22.824</v>
      </c>
      <c r="GC4" s="142">
        <f aca="true" t="shared" si="21" ref="GC4:GC41">SUM(FO4+FU4+GA4)</f>
        <v>16</v>
      </c>
      <c r="GD4" s="181">
        <f aca="true" t="shared" si="22" ref="GD4:GD43">$FK4</f>
        <v>5.84</v>
      </c>
      <c r="GE4" s="182">
        <f aca="true" t="shared" si="23" ref="GE4:GE43">$FL4</f>
        <v>4</v>
      </c>
      <c r="GG4" s="168">
        <f aca="true" t="shared" si="24" ref="GG4:GG42">SUM(FK4+GB4)</f>
        <v>28.664</v>
      </c>
      <c r="GH4" s="184">
        <f>SUM(GC4+GE4)</f>
        <v>20</v>
      </c>
      <c r="GI4" s="292">
        <f>'[1]lær-tímar'!C86</f>
        <v>28.663999999999998</v>
      </c>
      <c r="GJ4" s="292">
        <f>GG4-GI4</f>
        <v>0</v>
      </c>
    </row>
    <row r="5" spans="1:192" ht="12.75">
      <c r="A5" s="100" t="s">
        <v>121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09">
        <f>IF(AND(L3&lt;&gt;0,L3*0.1&gt;=0.5),4+(L3*0.1),4.5)</f>
        <v>6.4</v>
      </c>
      <c r="M5" s="143" t="s">
        <v>106</v>
      </c>
      <c r="N5" s="109">
        <f>IF(AND(N3&lt;&gt;0,N3*0.1&gt;=0.5),4+(N3*0.1),4.5)</f>
        <v>6.4</v>
      </c>
      <c r="O5" s="361" t="s">
        <v>98</v>
      </c>
      <c r="P5" s="109">
        <f>IF(AND(P3&lt;&gt;0,P3*0.1&gt;=0.5),4+(P3*0.1),4.5)</f>
        <v>6.4</v>
      </c>
      <c r="Q5" s="375" t="s">
        <v>310</v>
      </c>
      <c r="R5" s="109">
        <f>IF(AND(R3&lt;&gt;0,R3*0.1&gt;=0.5),4+(R3*0.1),4.5)</f>
        <v>6.4</v>
      </c>
      <c r="S5" s="369" t="s">
        <v>312</v>
      </c>
      <c r="T5" s="155"/>
      <c r="U5" s="155"/>
      <c r="V5" s="155"/>
      <c r="W5" s="155"/>
      <c r="X5" s="155"/>
      <c r="Y5" s="155"/>
      <c r="Z5" s="155"/>
      <c r="AA5" s="155"/>
      <c r="AB5" s="155"/>
      <c r="AC5" s="141">
        <f t="shared" si="0"/>
        <v>25.6</v>
      </c>
      <c r="AD5" s="142">
        <f>3*4</f>
        <v>12</v>
      </c>
      <c r="AE5" s="100" t="s">
        <v>121</v>
      </c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09">
        <f>IF(AND(AP3&lt;&gt;0,AP3*0.1&gt;=0.5),3.62+(AP3*0.1),4.12)</f>
        <v>5.82</v>
      </c>
      <c r="AQ5" s="361" t="s">
        <v>261</v>
      </c>
      <c r="AR5" s="109">
        <f>IF(AND(AR3&lt;&gt;0,AR3*0.1&gt;=0.5),3.62+(AR3*0.1),4.12)</f>
        <v>5.220000000000001</v>
      </c>
      <c r="AS5" s="367" t="s">
        <v>279</v>
      </c>
      <c r="AT5" s="417">
        <f>IF(AND(AT3&lt;&gt;0,AT3*0.1&gt;=0.5),3.62+(AT3*0.1),4.12)</f>
        <v>5.5200000000000005</v>
      </c>
      <c r="AU5" s="143" t="s">
        <v>299</v>
      </c>
      <c r="AV5" s="109">
        <f>IF(AND(AV3&lt;&gt;0,AV3*0.1&gt;=0.5),3.62+(AV3*0.1),4.12)</f>
        <v>5.720000000000001</v>
      </c>
      <c r="AW5" s="330" t="s">
        <v>310</v>
      </c>
      <c r="AX5" s="155"/>
      <c r="AY5" s="155"/>
      <c r="AZ5" s="155"/>
      <c r="BA5" s="155"/>
      <c r="BB5" s="155"/>
      <c r="BC5" s="138">
        <f t="shared" si="1"/>
        <v>22.28</v>
      </c>
      <c r="BD5" s="158">
        <f>3*3</f>
        <v>9</v>
      </c>
      <c r="BE5" s="100" t="s">
        <v>121</v>
      </c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46">
        <f aca="true" t="shared" si="25" ref="CF5:CF41">SUM(BF5:CE5)</f>
        <v>0</v>
      </c>
      <c r="CG5" s="147">
        <v>0</v>
      </c>
      <c r="CH5" s="146">
        <f t="shared" si="2"/>
        <v>22.28</v>
      </c>
      <c r="CI5" s="145">
        <f t="shared" si="2"/>
        <v>9</v>
      </c>
      <c r="CJ5" s="108" t="s">
        <v>121</v>
      </c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325"/>
      <c r="DE5" s="141">
        <f t="shared" si="3"/>
        <v>0</v>
      </c>
      <c r="DF5" s="142">
        <v>0</v>
      </c>
      <c r="DG5" s="108" t="s">
        <v>121</v>
      </c>
      <c r="DH5" s="109">
        <f>IF(AND(DI3&lt;&gt;0,DI3*0.134&gt;=0.5),6+(DI3*0.134),6.5)</f>
        <v>7.34</v>
      </c>
      <c r="DI5" s="188" t="s">
        <v>98</v>
      </c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418"/>
      <c r="EB5" s="418"/>
      <c r="EC5" s="418"/>
      <c r="ED5" s="418"/>
      <c r="EE5" s="155"/>
      <c r="EF5" s="141">
        <f>SUM(DH5:EE5)</f>
        <v>7.34</v>
      </c>
      <c r="EG5" s="147">
        <f>5+4</f>
        <v>9</v>
      </c>
      <c r="EH5" s="141">
        <f t="shared" si="4"/>
        <v>7.34</v>
      </c>
      <c r="EI5" s="142">
        <f t="shared" si="4"/>
        <v>9</v>
      </c>
      <c r="EJ5" s="108" t="s">
        <v>121</v>
      </c>
      <c r="EK5" s="155"/>
      <c r="EL5" s="155"/>
      <c r="EM5" s="155"/>
      <c r="EN5" s="155"/>
      <c r="EO5" s="155"/>
      <c r="EP5" s="155"/>
      <c r="EQ5" s="150"/>
      <c r="ER5" s="150"/>
      <c r="ES5" s="150"/>
      <c r="ET5" s="150"/>
      <c r="EU5" s="155"/>
      <c r="EV5" s="155"/>
      <c r="EW5" s="155"/>
      <c r="EX5" s="155"/>
      <c r="EY5" s="155"/>
      <c r="EZ5" s="155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41">
        <f t="shared" si="5"/>
        <v>0</v>
      </c>
      <c r="FL5" s="147">
        <v>0</v>
      </c>
      <c r="FM5" s="100" t="s">
        <v>121</v>
      </c>
      <c r="FN5" s="141">
        <f t="shared" si="6"/>
        <v>25.6</v>
      </c>
      <c r="FO5" s="142">
        <f t="shared" si="7"/>
        <v>12</v>
      </c>
      <c r="FP5" s="138">
        <f t="shared" si="8"/>
        <v>22.28</v>
      </c>
      <c r="FQ5" s="145">
        <f t="shared" si="9"/>
        <v>9</v>
      </c>
      <c r="FR5" s="146">
        <f t="shared" si="10"/>
        <v>0</v>
      </c>
      <c r="FS5" s="147">
        <f t="shared" si="11"/>
        <v>0</v>
      </c>
      <c r="FT5" s="146">
        <f t="shared" si="12"/>
        <v>22.28</v>
      </c>
      <c r="FU5" s="145">
        <f t="shared" si="13"/>
        <v>9</v>
      </c>
      <c r="FV5" s="141">
        <f t="shared" si="14"/>
        <v>0</v>
      </c>
      <c r="FW5" s="142">
        <f t="shared" si="15"/>
        <v>0</v>
      </c>
      <c r="FX5" s="141">
        <f t="shared" si="16"/>
        <v>7.34</v>
      </c>
      <c r="FY5" s="142">
        <f t="shared" si="17"/>
        <v>9</v>
      </c>
      <c r="FZ5" s="141">
        <f t="shared" si="18"/>
        <v>7.34</v>
      </c>
      <c r="GA5" s="142">
        <f t="shared" si="19"/>
        <v>9</v>
      </c>
      <c r="GB5" s="141">
        <f t="shared" si="20"/>
        <v>55.22</v>
      </c>
      <c r="GC5" s="142">
        <f t="shared" si="21"/>
        <v>30</v>
      </c>
      <c r="GD5" s="181">
        <f t="shared" si="22"/>
        <v>0</v>
      </c>
      <c r="GE5" s="182">
        <f t="shared" si="23"/>
        <v>0</v>
      </c>
      <c r="GG5" s="168">
        <f t="shared" si="24"/>
        <v>55.22</v>
      </c>
      <c r="GH5" s="184">
        <f aca="true" t="shared" si="26" ref="GH5:GH42">SUM(GC5+GE5)</f>
        <v>30</v>
      </c>
      <c r="GI5" s="292">
        <f>'[1]lær-tímar'!D86</f>
        <v>55.22</v>
      </c>
      <c r="GJ5" s="292">
        <f aca="true" t="shared" si="27" ref="GJ5:GJ41">GG5-GI5</f>
        <v>0</v>
      </c>
    </row>
    <row r="6" spans="1:192" ht="12.75">
      <c r="A6" s="100" t="s">
        <v>122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8"/>
      <c r="U6" s="148"/>
      <c r="V6" s="148"/>
      <c r="W6" s="148"/>
      <c r="X6" s="148"/>
      <c r="Y6" s="148"/>
      <c r="Z6" s="148"/>
      <c r="AA6" s="148"/>
      <c r="AB6" s="148"/>
      <c r="AC6" s="141">
        <f t="shared" si="0"/>
        <v>0</v>
      </c>
      <c r="AD6" s="142">
        <v>0</v>
      </c>
      <c r="AE6" s="100" t="s">
        <v>122</v>
      </c>
      <c r="AF6" s="109">
        <f>IF(AND(AF3&lt;&gt;0,AF3*0.094&gt;=0.5),3.375+(AF3*0.094),3.875)</f>
        <v>4.973</v>
      </c>
      <c r="AG6" s="367" t="s">
        <v>104</v>
      </c>
      <c r="AH6" s="109">
        <f>IF(AND(AH3&lt;&gt;0,AH3*0.094&gt;=0.5),3.375+(AH3*0.094),3.875)</f>
        <v>5.443</v>
      </c>
      <c r="AI6" s="330" t="s">
        <v>285</v>
      </c>
      <c r="AJ6" s="109">
        <f>IF(AND(AJ3&lt;&gt;0,AJ3*0.094&gt;=0.5),3.375+(AJ3*0.094),3.875)</f>
        <v>4.503</v>
      </c>
      <c r="AK6" s="330" t="s">
        <v>305</v>
      </c>
      <c r="AL6" s="109">
        <f>IF(AND(AL3&lt;&gt;0,AL3*0.094&gt;=0.5),3.375+(AL3*0.094),3.875)</f>
        <v>5.349</v>
      </c>
      <c r="AM6" s="419" t="s">
        <v>87</v>
      </c>
      <c r="AN6" s="109"/>
      <c r="AO6" s="340"/>
      <c r="AP6" s="109">
        <f>IF(AND(AP3&lt;&gt;0,AP3*0.094&gt;=0.5),3.375+(AP3*0.094),3.875)</f>
        <v>5.443</v>
      </c>
      <c r="AQ6" s="361" t="s">
        <v>218</v>
      </c>
      <c r="AR6" s="109">
        <f>IF(AND(AR3&lt;&gt;0,AR3*0.094&gt;=0.5),3.375+(AR3*0.094),3.875)</f>
        <v>4.879</v>
      </c>
      <c r="AS6" s="330" t="s">
        <v>305</v>
      </c>
      <c r="AT6" s="109">
        <f>IF(AND(AT3&lt;&gt;0,AT3*0.094&gt;=0.5),3.375+(AT3*0.094),3.875)</f>
        <v>5.161</v>
      </c>
      <c r="AU6" s="361" t="s">
        <v>92</v>
      </c>
      <c r="AV6" s="109">
        <f>IF(AND(AV3&lt;&gt;0,AV3*0.094&gt;=0.5),3.375+(AV3*0.094),3.875)</f>
        <v>5.349</v>
      </c>
      <c r="AW6" s="330" t="s">
        <v>305</v>
      </c>
      <c r="AX6" s="148"/>
      <c r="AY6" s="148"/>
      <c r="AZ6" s="148"/>
      <c r="BA6" s="148"/>
      <c r="BB6" s="148"/>
      <c r="BC6" s="138">
        <f t="shared" si="1"/>
        <v>41.099999999999994</v>
      </c>
      <c r="BD6" s="158">
        <f>7*3</f>
        <v>21</v>
      </c>
      <c r="BE6" s="100" t="s">
        <v>122</v>
      </c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6">
        <f t="shared" si="25"/>
        <v>0</v>
      </c>
      <c r="CG6" s="147">
        <v>0</v>
      </c>
      <c r="CH6" s="146">
        <f t="shared" si="2"/>
        <v>41.099999999999994</v>
      </c>
      <c r="CI6" s="145">
        <f t="shared" si="2"/>
        <v>21</v>
      </c>
      <c r="CJ6" s="108" t="s">
        <v>122</v>
      </c>
      <c r="CK6" s="109"/>
      <c r="CL6" s="334"/>
      <c r="CM6" s="109">
        <f>IF(AND(CM3&lt;&gt;0,CM3*0.094&gt;=0.5),3.375+(CM3*0.094),3.875)</f>
        <v>5.537</v>
      </c>
      <c r="CN6" s="362" t="s">
        <v>92</v>
      </c>
      <c r="CO6" s="109">
        <f>IF(AND(CO3&lt;&gt;0,CO3*0.094&gt;=0.5),3.375+(CO3*0.094),3.875)</f>
        <v>5.631</v>
      </c>
      <c r="CP6" s="338" t="s">
        <v>114</v>
      </c>
      <c r="CQ6" s="109">
        <f>IF(AND(CQ3&lt;&gt;0,CQ3*0.094&gt;=0.5),3.375+(CQ3*0.094),3.875)</f>
        <v>5.631</v>
      </c>
      <c r="CR6" s="362" t="s">
        <v>115</v>
      </c>
      <c r="CS6" s="109"/>
      <c r="CT6" s="112"/>
      <c r="CU6" s="109">
        <f>IF(AND(CU3&lt;&gt;0,CU3*0.094&gt;=0.5),3.375+(CU3*0.094),3.875)</f>
        <v>5.349</v>
      </c>
      <c r="CV6" s="362" t="s">
        <v>114</v>
      </c>
      <c r="CW6" s="109">
        <f>IF(AND(CW3&lt;&gt;0,CW3*0.094&gt;=0.5),3.375+(CW3*0.094),3.875)</f>
        <v>5.255</v>
      </c>
      <c r="CX6" s="112" t="s">
        <v>218</v>
      </c>
      <c r="CY6" s="109">
        <f>IF(AND(CY3&lt;&gt;0,CY3*0.094&gt;=0.5),3.375+(CY3*0.094),3.875)</f>
        <v>5.443</v>
      </c>
      <c r="CZ6" s="331" t="s">
        <v>324</v>
      </c>
      <c r="DA6" s="148"/>
      <c r="DB6" s="148"/>
      <c r="DC6" s="148"/>
      <c r="DD6" s="148"/>
      <c r="DE6" s="141">
        <f t="shared" si="3"/>
        <v>32.846</v>
      </c>
      <c r="DF6" s="152">
        <f>8*3</f>
        <v>24</v>
      </c>
      <c r="DG6" s="108" t="s">
        <v>122</v>
      </c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1">
        <f>SUM(DH6:EE6)</f>
        <v>0</v>
      </c>
      <c r="EG6" s="145">
        <v>0</v>
      </c>
      <c r="EH6" s="141">
        <f t="shared" si="4"/>
        <v>32.846</v>
      </c>
      <c r="EI6" s="142">
        <f t="shared" si="4"/>
        <v>24</v>
      </c>
      <c r="EJ6" s="108" t="s">
        <v>122</v>
      </c>
      <c r="EK6" s="109">
        <f>IF(AND(EK3&lt;&gt;0,EK3*0.1&gt;=0.5),4+(EK3*0.1),4.5)</f>
        <v>6.2</v>
      </c>
      <c r="EL6" s="345" t="s">
        <v>96</v>
      </c>
      <c r="EM6" s="109">
        <f>IF(AND(EM3&lt;&gt;0,EM3*0.1&gt;=0.5),4+(EM3*0.1),4.5)</f>
        <v>6.2</v>
      </c>
      <c r="EN6" s="333" t="s">
        <v>285</v>
      </c>
      <c r="EO6" s="148"/>
      <c r="EP6" s="148"/>
      <c r="EQ6" s="140"/>
      <c r="ER6" s="140"/>
      <c r="ES6" s="140"/>
      <c r="ET6" s="140"/>
      <c r="EU6" s="109">
        <f>IF(AND(EU3&lt;&gt;0,EU3*0.1&gt;=0.5),4+(EU3*0.1),4.5)</f>
        <v>5.9</v>
      </c>
      <c r="EV6" s="419" t="s">
        <v>87</v>
      </c>
      <c r="EW6" s="109">
        <f>IF(AND(EW3&lt;&gt;0,EW3*0.1&gt;=0.5),4+(EW3*0.1),4.5)</f>
        <v>5.7</v>
      </c>
      <c r="EX6" s="188" t="s">
        <v>104</v>
      </c>
      <c r="EY6" s="109"/>
      <c r="EZ6" s="188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1">
        <f t="shared" si="5"/>
        <v>24</v>
      </c>
      <c r="FL6" s="145">
        <f>4*3</f>
        <v>12</v>
      </c>
      <c r="FM6" s="100" t="s">
        <v>122</v>
      </c>
      <c r="FN6" s="141">
        <f t="shared" si="6"/>
        <v>0</v>
      </c>
      <c r="FO6" s="142">
        <f t="shared" si="7"/>
        <v>0</v>
      </c>
      <c r="FP6" s="138">
        <f t="shared" si="8"/>
        <v>41.099999999999994</v>
      </c>
      <c r="FQ6" s="145">
        <f t="shared" si="9"/>
        <v>21</v>
      </c>
      <c r="FR6" s="146">
        <f t="shared" si="10"/>
        <v>0</v>
      </c>
      <c r="FS6" s="147">
        <f t="shared" si="11"/>
        <v>0</v>
      </c>
      <c r="FT6" s="146">
        <f t="shared" si="12"/>
        <v>41.099999999999994</v>
      </c>
      <c r="FU6" s="145">
        <f t="shared" si="13"/>
        <v>21</v>
      </c>
      <c r="FV6" s="141">
        <f t="shared" si="14"/>
        <v>32.846</v>
      </c>
      <c r="FW6" s="142">
        <f t="shared" si="15"/>
        <v>24</v>
      </c>
      <c r="FX6" s="141">
        <f t="shared" si="16"/>
        <v>0</v>
      </c>
      <c r="FY6" s="142">
        <f t="shared" si="17"/>
        <v>0</v>
      </c>
      <c r="FZ6" s="141">
        <f t="shared" si="18"/>
        <v>32.846</v>
      </c>
      <c r="GA6" s="142">
        <f t="shared" si="19"/>
        <v>24</v>
      </c>
      <c r="GB6" s="141">
        <f t="shared" si="20"/>
        <v>73.946</v>
      </c>
      <c r="GC6" s="142">
        <f t="shared" si="21"/>
        <v>45</v>
      </c>
      <c r="GD6" s="181">
        <f t="shared" si="22"/>
        <v>24</v>
      </c>
      <c r="GE6" s="182">
        <f t="shared" si="23"/>
        <v>12</v>
      </c>
      <c r="GG6" s="168">
        <f t="shared" si="24"/>
        <v>97.946</v>
      </c>
      <c r="GH6" s="184">
        <f t="shared" si="26"/>
        <v>57</v>
      </c>
      <c r="GI6" s="292">
        <f>'[1]lær-tímar'!E86</f>
        <v>97.94600000000001</v>
      </c>
      <c r="GJ6" s="292">
        <f t="shared" si="27"/>
        <v>0</v>
      </c>
    </row>
    <row r="7" spans="1:192" ht="12.75">
      <c r="A7" s="100" t="s">
        <v>219</v>
      </c>
      <c r="B7" s="109">
        <f>IF(AND(B3&lt;&gt;0,B3*0.119&gt;=0.5),4+(B3*0.119),4.5)</f>
        <v>6.618</v>
      </c>
      <c r="C7" s="143" t="s">
        <v>116</v>
      </c>
      <c r="D7" s="109">
        <f>IF(AND(D3&lt;&gt;0,D3*0.119&gt;=0.5),4+(D3*0.119),4.5)</f>
        <v>6.499</v>
      </c>
      <c r="E7" s="420" t="s">
        <v>88</v>
      </c>
      <c r="F7" s="109">
        <f>IF(AND(F3&lt;&gt;0,F3*0.119&gt;=0.5),4+(F3*0.119),4.5)</f>
        <v>6.1419999999999995</v>
      </c>
      <c r="G7" s="339" t="s">
        <v>309</v>
      </c>
      <c r="H7" s="421"/>
      <c r="I7" s="339" t="s">
        <v>268</v>
      </c>
      <c r="J7" s="347"/>
      <c r="K7" s="422"/>
      <c r="L7" s="151"/>
      <c r="M7" s="151"/>
      <c r="N7" s="151"/>
      <c r="O7" s="151"/>
      <c r="P7" s="151"/>
      <c r="Q7" s="151"/>
      <c r="R7" s="151"/>
      <c r="S7" s="151"/>
      <c r="T7" s="155"/>
      <c r="U7" s="155"/>
      <c r="V7" s="155"/>
      <c r="W7" s="155"/>
      <c r="X7" s="155"/>
      <c r="Y7" s="155"/>
      <c r="Z7" s="155"/>
      <c r="AA7" s="155"/>
      <c r="AB7" s="155"/>
      <c r="AC7" s="141">
        <f t="shared" si="0"/>
        <v>19.259</v>
      </c>
      <c r="AD7" s="142">
        <f>4*4</f>
        <v>16</v>
      </c>
      <c r="AE7" s="100" t="s">
        <v>219</v>
      </c>
      <c r="AF7" s="109">
        <f>IF(AND(AF3&lt;&gt;0,AF3*0.119&gt;=0.5),4+(AF3*0.119),4.5)</f>
        <v>6.023</v>
      </c>
      <c r="AG7" s="143" t="s">
        <v>95</v>
      </c>
      <c r="AH7" s="109">
        <f>IF(AND(AH3&lt;&gt;0,AH3*0.119&gt;=0.5),4+(AH3*0.119),4.5)</f>
        <v>6.618</v>
      </c>
      <c r="AI7" s="330" t="s">
        <v>266</v>
      </c>
      <c r="AJ7" s="109">
        <f>IF(AND(AJ3&lt;&gt;0,AJ3*0.119&gt;=0.5),4+(AJ3*0.119),4.5)</f>
        <v>5.428</v>
      </c>
      <c r="AK7" s="143" t="s">
        <v>278</v>
      </c>
      <c r="AL7" s="109">
        <f>IF(AND(AL3&lt;&gt;0,AL3*0.119&gt;=0.5),4+(AL3*0.119),4.5)</f>
        <v>6.499</v>
      </c>
      <c r="AM7" s="361" t="s">
        <v>91</v>
      </c>
      <c r="AN7" s="109"/>
      <c r="AO7" s="143"/>
      <c r="AP7" s="197"/>
      <c r="AQ7" s="197"/>
      <c r="AR7" s="197"/>
      <c r="AS7" s="197"/>
      <c r="AT7" s="197"/>
      <c r="AU7" s="197"/>
      <c r="AV7" s="197"/>
      <c r="AW7" s="197"/>
      <c r="AX7" s="155"/>
      <c r="AY7" s="155"/>
      <c r="AZ7" s="155"/>
      <c r="BA7" s="155"/>
      <c r="BB7" s="155"/>
      <c r="BC7" s="138">
        <f t="shared" si="1"/>
        <v>24.567999999999998</v>
      </c>
      <c r="BD7" s="158">
        <f>4*4</f>
        <v>16</v>
      </c>
      <c r="BE7" s="100" t="s">
        <v>219</v>
      </c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46">
        <f t="shared" si="25"/>
        <v>0</v>
      </c>
      <c r="CG7" s="147">
        <v>0</v>
      </c>
      <c r="CH7" s="146">
        <f t="shared" si="2"/>
        <v>24.567999999999998</v>
      </c>
      <c r="CI7" s="145">
        <f t="shared" si="2"/>
        <v>16</v>
      </c>
      <c r="CJ7" s="108" t="s">
        <v>219</v>
      </c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41">
        <f t="shared" si="3"/>
        <v>0</v>
      </c>
      <c r="DF7" s="152">
        <v>0</v>
      </c>
      <c r="DG7" s="108" t="s">
        <v>219</v>
      </c>
      <c r="DH7" s="155"/>
      <c r="DI7" s="155"/>
      <c r="DJ7" s="155"/>
      <c r="DK7" s="155"/>
      <c r="DL7" s="109">
        <f>IF(AND(DL3&lt;&gt;0,DL3*0.134&gt;=0.5),5+(DL3*0.134),5.5)</f>
        <v>7.144</v>
      </c>
      <c r="DM7" s="188" t="s">
        <v>99</v>
      </c>
      <c r="DN7" s="109">
        <f>IF(AND(DM3&lt;&gt;0,DM3*0.134&gt;=0.5),5+(DM3*0.134),5.5)</f>
        <v>7.144</v>
      </c>
      <c r="DO7" s="188" t="s">
        <v>95</v>
      </c>
      <c r="DP7" s="109">
        <f>IF(AND(DM2&lt;&gt;0,DM2*0.134&gt;=0.5),5+(DM2*0.134),5.5)</f>
        <v>7.144</v>
      </c>
      <c r="DQ7" s="188" t="s">
        <v>221</v>
      </c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41">
        <f>SUM(DH7:EE7)</f>
        <v>21.432000000000002</v>
      </c>
      <c r="EG7" s="147">
        <f>5+5+5</f>
        <v>15</v>
      </c>
      <c r="EH7" s="141">
        <f t="shared" si="4"/>
        <v>21.432000000000002</v>
      </c>
      <c r="EI7" s="142">
        <f t="shared" si="4"/>
        <v>15</v>
      </c>
      <c r="EJ7" s="108" t="s">
        <v>220</v>
      </c>
      <c r="EK7" s="109">
        <f>IF(AND(EK3&lt;&gt;0,EK3*0.119&gt;=0.5),4+(EK3*0.119),4.5)</f>
        <v>6.618</v>
      </c>
      <c r="EL7" s="188" t="s">
        <v>90</v>
      </c>
      <c r="EM7" s="109">
        <f>IF(AND(EM3&lt;&gt;0,EM3*0.119&gt;=0.5),4+(EM3*0.119),4.5)</f>
        <v>6.618</v>
      </c>
      <c r="EN7" s="339" t="s">
        <v>309</v>
      </c>
      <c r="EO7" s="155"/>
      <c r="EP7" s="155"/>
      <c r="EQ7" s="150"/>
      <c r="ER7" s="150"/>
      <c r="ES7" s="150"/>
      <c r="ET7" s="150"/>
      <c r="EU7" s="109">
        <f>IF(AND(EU3&lt;&gt;0,EU3*0.103&gt;=0.5),4+(EU3*0.103),4.5)</f>
        <v>5.957</v>
      </c>
      <c r="EV7" s="188" t="s">
        <v>90</v>
      </c>
      <c r="EW7" s="109">
        <f>IF(AND(EW3&lt;&gt;0,EW3*0.103&gt;=0.5),4+(EW3*0.103),4.5)</f>
        <v>5.7509999999999994</v>
      </c>
      <c r="EX7" s="333" t="s">
        <v>266</v>
      </c>
      <c r="EY7" s="109"/>
      <c r="EZ7" s="188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41">
        <f t="shared" si="5"/>
        <v>24.944000000000003</v>
      </c>
      <c r="FL7" s="147">
        <f>4*4</f>
        <v>16</v>
      </c>
      <c r="FM7" s="100" t="s">
        <v>219</v>
      </c>
      <c r="FN7" s="141">
        <f t="shared" si="6"/>
        <v>19.259</v>
      </c>
      <c r="FO7" s="142">
        <f t="shared" si="7"/>
        <v>16</v>
      </c>
      <c r="FP7" s="138">
        <f t="shared" si="8"/>
        <v>24.567999999999998</v>
      </c>
      <c r="FQ7" s="145">
        <f t="shared" si="9"/>
        <v>16</v>
      </c>
      <c r="FR7" s="146">
        <f t="shared" si="10"/>
        <v>0</v>
      </c>
      <c r="FS7" s="147">
        <f t="shared" si="11"/>
        <v>0</v>
      </c>
      <c r="FT7" s="146">
        <f t="shared" si="12"/>
        <v>24.567999999999998</v>
      </c>
      <c r="FU7" s="145">
        <f t="shared" si="13"/>
        <v>16</v>
      </c>
      <c r="FV7" s="141">
        <f t="shared" si="14"/>
        <v>0</v>
      </c>
      <c r="FW7" s="142">
        <f t="shared" si="15"/>
        <v>0</v>
      </c>
      <c r="FX7" s="141">
        <f t="shared" si="16"/>
        <v>21.432000000000002</v>
      </c>
      <c r="FY7" s="142">
        <f t="shared" si="17"/>
        <v>15</v>
      </c>
      <c r="FZ7" s="141">
        <f t="shared" si="18"/>
        <v>21.432000000000002</v>
      </c>
      <c r="GA7" s="142">
        <f t="shared" si="19"/>
        <v>15</v>
      </c>
      <c r="GB7" s="141">
        <f t="shared" si="20"/>
        <v>65.259</v>
      </c>
      <c r="GC7" s="142">
        <f t="shared" si="21"/>
        <v>47</v>
      </c>
      <c r="GD7" s="181">
        <f t="shared" si="22"/>
        <v>24.944000000000003</v>
      </c>
      <c r="GE7" s="182">
        <f t="shared" si="23"/>
        <v>16</v>
      </c>
      <c r="GG7" s="168">
        <f t="shared" si="24"/>
        <v>90.203</v>
      </c>
      <c r="GH7" s="184">
        <f t="shared" si="26"/>
        <v>63</v>
      </c>
      <c r="GI7" s="292">
        <f>'[1]lær-tímar'!F86</f>
        <v>139.92100000000002</v>
      </c>
      <c r="GJ7" s="292">
        <f>(GG7+GG8)-GI7</f>
        <v>0</v>
      </c>
    </row>
    <row r="8" spans="1:190" ht="12.75">
      <c r="A8" s="100" t="s">
        <v>222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09">
        <f>IF(AND(L3&lt;&gt;0,L3*0.06&gt;=0.5),4+(L3*0.06),4.5)</f>
        <v>5.4399999999999995</v>
      </c>
      <c r="M8" s="298" t="s">
        <v>116</v>
      </c>
      <c r="N8" s="109">
        <f>IF(AND(N3&lt;&gt;0,N3*0.06&gt;=0.5),4+(N3*0.06),4.5)</f>
        <v>5.4399999999999995</v>
      </c>
      <c r="O8" s="420" t="s">
        <v>88</v>
      </c>
      <c r="P8" s="109">
        <f>IF(AND(P3&lt;&gt;0,P3*0.06&gt;=0.5),4+(P3*0.06),4.5)</f>
        <v>5.4399999999999995</v>
      </c>
      <c r="Q8" s="423" t="s">
        <v>161</v>
      </c>
      <c r="R8" s="109">
        <f>IF(AND(R3&lt;&gt;0,R3*0.06&gt;=0.5),4+(R3*0.06),4.5)</f>
        <v>5.4399999999999995</v>
      </c>
      <c r="S8" s="160" t="s">
        <v>221</v>
      </c>
      <c r="T8" s="148"/>
      <c r="U8" s="148"/>
      <c r="V8" s="148"/>
      <c r="W8" s="148"/>
      <c r="X8" s="148"/>
      <c r="Y8" s="148"/>
      <c r="Z8" s="148"/>
      <c r="AA8" s="148"/>
      <c r="AB8" s="148"/>
      <c r="AC8" s="141">
        <f t="shared" si="0"/>
        <v>21.759999999999998</v>
      </c>
      <c r="AD8" s="142">
        <f>4*4</f>
        <v>16</v>
      </c>
      <c r="AE8" s="100" t="s">
        <v>222</v>
      </c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09">
        <f>IF(AND(AP3&lt;&gt;0,AP3*0.06&gt;=0.5),4+(AP3*0.06),4.5)</f>
        <v>5.32</v>
      </c>
      <c r="AQ8" s="361" t="s">
        <v>95</v>
      </c>
      <c r="AR8" s="109">
        <f>IF(AND(AR3&lt;&gt;0,AR3*0.06&gt;=0.5),4+(AR3*0.06),4.5)</f>
        <v>4.96</v>
      </c>
      <c r="AS8" s="330" t="s">
        <v>264</v>
      </c>
      <c r="AT8" s="109">
        <f>IF(AND(AT3&lt;&gt;0,AT3*0.06&gt;=0.5),4+(AT3*0.06),4.5)</f>
        <v>5.14</v>
      </c>
      <c r="AU8" s="330" t="s">
        <v>264</v>
      </c>
      <c r="AV8" s="109">
        <f>IF(AND(AV3&lt;&gt;0,AV3*0.06&gt;=0.5),4+(AV3*0.06),4.5)</f>
        <v>5.26</v>
      </c>
      <c r="AW8" s="143" t="s">
        <v>90</v>
      </c>
      <c r="AX8" s="148"/>
      <c r="AY8" s="148"/>
      <c r="AZ8" s="148"/>
      <c r="BA8" s="148"/>
      <c r="BB8" s="148"/>
      <c r="BC8" s="138">
        <f t="shared" si="1"/>
        <v>20.68</v>
      </c>
      <c r="BD8" s="158">
        <f>3*4</f>
        <v>12</v>
      </c>
      <c r="BE8" s="100" t="s">
        <v>222</v>
      </c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6">
        <f t="shared" si="25"/>
        <v>0</v>
      </c>
      <c r="CG8" s="147">
        <v>0</v>
      </c>
      <c r="CH8" s="146">
        <f t="shared" si="2"/>
        <v>20.68</v>
      </c>
      <c r="CI8" s="145">
        <f t="shared" si="2"/>
        <v>12</v>
      </c>
      <c r="CJ8" s="108" t="s">
        <v>222</v>
      </c>
      <c r="CK8" s="153"/>
      <c r="CL8" s="154"/>
      <c r="CM8" s="153"/>
      <c r="CN8" s="154"/>
      <c r="CO8" s="153"/>
      <c r="CP8" s="154"/>
      <c r="CQ8" s="153"/>
      <c r="CR8" s="148"/>
      <c r="CS8" s="153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1">
        <f t="shared" si="3"/>
        <v>0</v>
      </c>
      <c r="DF8" s="152">
        <v>0</v>
      </c>
      <c r="DG8" s="108" t="s">
        <v>222</v>
      </c>
      <c r="DH8" s="148"/>
      <c r="DI8" s="148"/>
      <c r="DJ8" s="148"/>
      <c r="DK8" s="148"/>
      <c r="DL8" s="148"/>
      <c r="DM8" s="148"/>
      <c r="DN8" s="109">
        <f>IF(AND(DN3&lt;&gt;0,DN3*0.134&gt;=0.5),5+(DN3*0.134),5.5)</f>
        <v>7.2780000000000005</v>
      </c>
      <c r="DO8" s="188" t="s">
        <v>89</v>
      </c>
      <c r="DP8" s="109"/>
      <c r="DQ8" s="333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1">
        <f>SUM(DH8:EE8)</f>
        <v>7.2780000000000005</v>
      </c>
      <c r="EG8" s="147">
        <f>5+5</f>
        <v>10</v>
      </c>
      <c r="EH8" s="141">
        <f t="shared" si="4"/>
        <v>7.2780000000000005</v>
      </c>
      <c r="EI8" s="142">
        <f t="shared" si="4"/>
        <v>10</v>
      </c>
      <c r="EJ8" s="108" t="s">
        <v>223</v>
      </c>
      <c r="EK8" s="148"/>
      <c r="EL8" s="148"/>
      <c r="EM8" s="148"/>
      <c r="EN8" s="148"/>
      <c r="EO8" s="148"/>
      <c r="EP8" s="148"/>
      <c r="EQ8" s="140"/>
      <c r="ER8" s="140"/>
      <c r="ES8" s="140"/>
      <c r="ET8" s="140"/>
      <c r="EU8" s="148"/>
      <c r="EV8" s="148"/>
      <c r="EW8" s="148"/>
      <c r="EX8" s="148"/>
      <c r="EY8" s="148"/>
      <c r="EZ8" s="148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1">
        <f t="shared" si="5"/>
        <v>0</v>
      </c>
      <c r="FL8" s="147">
        <v>0</v>
      </c>
      <c r="FM8" s="100" t="s">
        <v>222</v>
      </c>
      <c r="FN8" s="141">
        <f t="shared" si="6"/>
        <v>21.759999999999998</v>
      </c>
      <c r="FO8" s="142">
        <f t="shared" si="7"/>
        <v>16</v>
      </c>
      <c r="FP8" s="138">
        <f t="shared" si="8"/>
        <v>20.68</v>
      </c>
      <c r="FQ8" s="145">
        <f t="shared" si="9"/>
        <v>12</v>
      </c>
      <c r="FR8" s="146">
        <f t="shared" si="10"/>
        <v>0</v>
      </c>
      <c r="FS8" s="147">
        <f t="shared" si="11"/>
        <v>0</v>
      </c>
      <c r="FT8" s="146">
        <f t="shared" si="12"/>
        <v>20.68</v>
      </c>
      <c r="FU8" s="145">
        <f t="shared" si="13"/>
        <v>12</v>
      </c>
      <c r="FV8" s="141">
        <f t="shared" si="14"/>
        <v>0</v>
      </c>
      <c r="FW8" s="142">
        <f t="shared" si="15"/>
        <v>0</v>
      </c>
      <c r="FX8" s="141">
        <f t="shared" si="16"/>
        <v>7.2780000000000005</v>
      </c>
      <c r="FY8" s="142">
        <f t="shared" si="17"/>
        <v>10</v>
      </c>
      <c r="FZ8" s="141">
        <f t="shared" si="18"/>
        <v>7.2780000000000005</v>
      </c>
      <c r="GA8" s="142">
        <f t="shared" si="19"/>
        <v>10</v>
      </c>
      <c r="GB8" s="141">
        <f t="shared" si="20"/>
        <v>49.717999999999996</v>
      </c>
      <c r="GC8" s="142">
        <f t="shared" si="21"/>
        <v>38</v>
      </c>
      <c r="GD8" s="181">
        <f t="shared" si="22"/>
        <v>0</v>
      </c>
      <c r="GE8" s="182">
        <f t="shared" si="23"/>
        <v>0</v>
      </c>
      <c r="GG8" s="168">
        <f t="shared" si="24"/>
        <v>49.717999999999996</v>
      </c>
      <c r="GH8" s="184">
        <f t="shared" si="26"/>
        <v>38</v>
      </c>
    </row>
    <row r="9" spans="1:192" ht="12.75">
      <c r="A9" s="100" t="s">
        <v>224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5"/>
      <c r="U9" s="155"/>
      <c r="V9" s="155"/>
      <c r="W9" s="155"/>
      <c r="X9" s="155"/>
      <c r="Y9" s="155"/>
      <c r="Z9" s="155"/>
      <c r="AA9" s="155"/>
      <c r="AB9" s="155"/>
      <c r="AC9" s="141">
        <f t="shared" si="0"/>
        <v>0</v>
      </c>
      <c r="AD9" s="142">
        <v>0</v>
      </c>
      <c r="AE9" s="100" t="s">
        <v>224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5"/>
      <c r="AY9" s="155"/>
      <c r="AZ9" s="155"/>
      <c r="BA9" s="155"/>
      <c r="BB9" s="155"/>
      <c r="BC9" s="138">
        <f t="shared" si="1"/>
        <v>0</v>
      </c>
      <c r="BD9" s="158">
        <v>0</v>
      </c>
      <c r="BE9" s="100" t="s">
        <v>224</v>
      </c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46">
        <f t="shared" si="25"/>
        <v>0</v>
      </c>
      <c r="CG9" s="147">
        <v>0</v>
      </c>
      <c r="CH9" s="146">
        <f t="shared" si="2"/>
        <v>0</v>
      </c>
      <c r="CI9" s="145">
        <v>0</v>
      </c>
      <c r="CJ9" s="108" t="s">
        <v>224</v>
      </c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41">
        <f t="shared" si="3"/>
        <v>0</v>
      </c>
      <c r="DF9" s="152">
        <v>0</v>
      </c>
      <c r="DG9" s="108" t="s">
        <v>224</v>
      </c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41">
        <f>SUM(DH9:EE9)</f>
        <v>0</v>
      </c>
      <c r="EG9" s="147">
        <v>0</v>
      </c>
      <c r="EH9" s="141">
        <f t="shared" si="4"/>
        <v>0</v>
      </c>
      <c r="EI9" s="142">
        <f t="shared" si="4"/>
        <v>0</v>
      </c>
      <c r="EJ9" s="108" t="s">
        <v>225</v>
      </c>
      <c r="EK9" s="155"/>
      <c r="EL9" s="155"/>
      <c r="EM9" s="155"/>
      <c r="EN9" s="155"/>
      <c r="EO9" s="155"/>
      <c r="EP9" s="155"/>
      <c r="EQ9" s="150"/>
      <c r="ER9" s="150"/>
      <c r="ES9" s="150"/>
      <c r="ET9" s="150"/>
      <c r="EU9" s="155"/>
      <c r="EV9" s="155"/>
      <c r="EW9" s="155"/>
      <c r="EX9" s="155"/>
      <c r="EY9" s="155"/>
      <c r="EZ9" s="155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41">
        <f t="shared" si="5"/>
        <v>0</v>
      </c>
      <c r="FL9" s="147">
        <v>0</v>
      </c>
      <c r="FM9" s="100" t="s">
        <v>224</v>
      </c>
      <c r="FN9" s="141">
        <f t="shared" si="6"/>
        <v>0</v>
      </c>
      <c r="FO9" s="142">
        <f t="shared" si="7"/>
        <v>0</v>
      </c>
      <c r="FP9" s="138">
        <f t="shared" si="8"/>
        <v>0</v>
      </c>
      <c r="FQ9" s="145">
        <f t="shared" si="9"/>
        <v>0</v>
      </c>
      <c r="FR9" s="146">
        <f t="shared" si="10"/>
        <v>0</v>
      </c>
      <c r="FS9" s="147">
        <f t="shared" si="11"/>
        <v>0</v>
      </c>
      <c r="FT9" s="146">
        <f t="shared" si="12"/>
        <v>0</v>
      </c>
      <c r="FU9" s="145">
        <f t="shared" si="13"/>
        <v>0</v>
      </c>
      <c r="FV9" s="141">
        <f t="shared" si="14"/>
        <v>0</v>
      </c>
      <c r="FW9" s="142">
        <f t="shared" si="15"/>
        <v>0</v>
      </c>
      <c r="FX9" s="141">
        <f t="shared" si="16"/>
        <v>0</v>
      </c>
      <c r="FY9" s="142">
        <f t="shared" si="17"/>
        <v>0</v>
      </c>
      <c r="FZ9" s="141">
        <f t="shared" si="18"/>
        <v>0</v>
      </c>
      <c r="GA9" s="142">
        <f t="shared" si="19"/>
        <v>0</v>
      </c>
      <c r="GB9" s="141">
        <f t="shared" si="20"/>
        <v>0</v>
      </c>
      <c r="GC9" s="142">
        <f t="shared" si="21"/>
        <v>0</v>
      </c>
      <c r="GD9" s="181">
        <f t="shared" si="22"/>
        <v>0</v>
      </c>
      <c r="GE9" s="182">
        <f t="shared" si="23"/>
        <v>0</v>
      </c>
      <c r="GG9" s="168">
        <f t="shared" si="24"/>
        <v>0</v>
      </c>
      <c r="GH9" s="184">
        <f t="shared" si="26"/>
        <v>0</v>
      </c>
      <c r="GI9" s="292">
        <f>'[1]lær-tímar'!G86</f>
        <v>37.544000000000004</v>
      </c>
      <c r="GJ9" s="292">
        <f>(GG9+GG10)-GI9</f>
        <v>0</v>
      </c>
    </row>
    <row r="10" spans="1:190" ht="12.75">
      <c r="A10" s="100" t="s">
        <v>226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09">
        <f>IF(AND(L3&lt;&gt;0,L3*0.022&gt;=0.5),4+(L3*0.022),4.5)</f>
        <v>4.5280000000000005</v>
      </c>
      <c r="M10" s="160" t="s">
        <v>265</v>
      </c>
      <c r="N10" s="109">
        <f>IF(AND(N3&lt;&gt;0,N3*0.022&gt;=0.5),4+(N3*0.022),4.5)</f>
        <v>4.5280000000000005</v>
      </c>
      <c r="O10" s="160" t="s">
        <v>98</v>
      </c>
      <c r="P10" s="109">
        <f>IF(AND(P3&lt;&gt;0,P3*0.022&gt;=0.5),4+(P3*0.022),4.5)</f>
        <v>4.5280000000000005</v>
      </c>
      <c r="Q10" s="160" t="s">
        <v>112</v>
      </c>
      <c r="R10" s="109">
        <f>IF(AND(R3&lt;&gt;0,R3*0.022&gt;=0.5),4+(R3*0.022),4.5)</f>
        <v>4.5280000000000005</v>
      </c>
      <c r="S10" s="423" t="s">
        <v>112</v>
      </c>
      <c r="T10" s="148"/>
      <c r="U10" s="148"/>
      <c r="V10" s="148"/>
      <c r="W10" s="148"/>
      <c r="X10" s="148"/>
      <c r="Y10" s="148"/>
      <c r="Z10" s="148"/>
      <c r="AA10" s="148"/>
      <c r="AB10" s="148"/>
      <c r="AC10" s="141">
        <f t="shared" si="0"/>
        <v>18.112000000000002</v>
      </c>
      <c r="AD10" s="142">
        <f>3*3</f>
        <v>9</v>
      </c>
      <c r="AE10" s="100" t="s">
        <v>226</v>
      </c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8"/>
      <c r="AY10" s="148"/>
      <c r="AZ10" s="148"/>
      <c r="BA10" s="148"/>
      <c r="BB10" s="148"/>
      <c r="BC10" s="138">
        <f t="shared" si="1"/>
        <v>0</v>
      </c>
      <c r="BD10" s="158">
        <v>0</v>
      </c>
      <c r="BE10" s="100" t="s">
        <v>226</v>
      </c>
      <c r="BF10" s="109">
        <f>IF(AND(BG2&lt;&gt;0,BG2*0.1&gt;=0.5),6+(BG2*0.1),6.5)</f>
        <v>7.2</v>
      </c>
      <c r="BG10" s="112" t="s">
        <v>265</v>
      </c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351"/>
      <c r="BU10" s="351"/>
      <c r="BV10" s="350"/>
      <c r="BW10" s="351"/>
      <c r="BX10" s="109">
        <f>IF(AND(BY2&lt;&gt;0,BY2*0.06&gt;=0.5),4.5+(BY2*0.06),5)</f>
        <v>5.16</v>
      </c>
      <c r="BY10" s="334" t="s">
        <v>252</v>
      </c>
      <c r="BZ10" s="148"/>
      <c r="CA10" s="148"/>
      <c r="CB10" s="148"/>
      <c r="CC10" s="148"/>
      <c r="CD10" s="148"/>
      <c r="CE10" s="148"/>
      <c r="CF10" s="146">
        <f t="shared" si="25"/>
        <v>12.36</v>
      </c>
      <c r="CG10" s="145">
        <f>5+4</f>
        <v>9</v>
      </c>
      <c r="CH10" s="146">
        <f t="shared" si="2"/>
        <v>12.36</v>
      </c>
      <c r="CI10" s="145">
        <f>SUM(BD10+CG10)</f>
        <v>9</v>
      </c>
      <c r="CJ10" s="108" t="s">
        <v>226</v>
      </c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1">
        <f t="shared" si="3"/>
        <v>0</v>
      </c>
      <c r="DF10" s="152">
        <v>0</v>
      </c>
      <c r="DG10" s="108" t="s">
        <v>226</v>
      </c>
      <c r="DH10" s="148"/>
      <c r="DI10" s="148"/>
      <c r="DJ10" s="148"/>
      <c r="DK10" s="148"/>
      <c r="DL10" s="148"/>
      <c r="DM10" s="148"/>
      <c r="DN10" s="109">
        <f>IF(AND(EA3&lt;&gt;0,EA3*0.134&gt;=0.5),6+(EA3*0.134),6.5)</f>
        <v>7.072</v>
      </c>
      <c r="DO10" s="188" t="s">
        <v>105</v>
      </c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1">
        <f>SUM(DH10:EE10)</f>
        <v>7.072</v>
      </c>
      <c r="EG10" s="147">
        <v>5</v>
      </c>
      <c r="EH10" s="141">
        <f t="shared" si="4"/>
        <v>7.072</v>
      </c>
      <c r="EI10" s="142">
        <f t="shared" si="4"/>
        <v>5</v>
      </c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1">
        <f t="shared" si="5"/>
        <v>0</v>
      </c>
      <c r="FL10" s="147">
        <v>0</v>
      </c>
      <c r="FM10" s="100" t="s">
        <v>226</v>
      </c>
      <c r="FN10" s="141">
        <f t="shared" si="6"/>
        <v>18.112000000000002</v>
      </c>
      <c r="FO10" s="142">
        <f t="shared" si="7"/>
        <v>9</v>
      </c>
      <c r="FP10" s="138">
        <f t="shared" si="8"/>
        <v>0</v>
      </c>
      <c r="FQ10" s="145">
        <f t="shared" si="9"/>
        <v>0</v>
      </c>
      <c r="FR10" s="146">
        <f t="shared" si="10"/>
        <v>12.36</v>
      </c>
      <c r="FS10" s="147">
        <f t="shared" si="11"/>
        <v>9</v>
      </c>
      <c r="FT10" s="146">
        <f t="shared" si="12"/>
        <v>12.36</v>
      </c>
      <c r="FU10" s="145">
        <f t="shared" si="13"/>
        <v>9</v>
      </c>
      <c r="FV10" s="141">
        <f t="shared" si="14"/>
        <v>0</v>
      </c>
      <c r="FW10" s="142">
        <f t="shared" si="15"/>
        <v>0</v>
      </c>
      <c r="FX10" s="141">
        <f t="shared" si="16"/>
        <v>7.072</v>
      </c>
      <c r="FY10" s="142">
        <f t="shared" si="17"/>
        <v>5</v>
      </c>
      <c r="FZ10" s="141">
        <f t="shared" si="18"/>
        <v>7.072</v>
      </c>
      <c r="GA10" s="142">
        <f t="shared" si="19"/>
        <v>5</v>
      </c>
      <c r="GB10" s="141">
        <f t="shared" si="20"/>
        <v>37.544000000000004</v>
      </c>
      <c r="GC10" s="142">
        <f t="shared" si="21"/>
        <v>23</v>
      </c>
      <c r="GD10" s="181">
        <f t="shared" si="22"/>
        <v>0</v>
      </c>
      <c r="GE10" s="182">
        <f t="shared" si="23"/>
        <v>0</v>
      </c>
      <c r="GG10" s="168">
        <f t="shared" si="24"/>
        <v>37.544000000000004</v>
      </c>
      <c r="GH10" s="184">
        <f t="shared" si="26"/>
        <v>23</v>
      </c>
    </row>
    <row r="11" spans="1:192" ht="12.75">
      <c r="A11" s="100" t="s">
        <v>125</v>
      </c>
      <c r="B11" s="109">
        <v>1.5</v>
      </c>
      <c r="C11" s="361" t="s">
        <v>88</v>
      </c>
      <c r="D11" s="109">
        <v>1.5</v>
      </c>
      <c r="E11" s="361" t="s">
        <v>88</v>
      </c>
      <c r="F11" s="109">
        <v>1.5</v>
      </c>
      <c r="G11" s="361" t="s">
        <v>285</v>
      </c>
      <c r="H11" s="417"/>
      <c r="I11" s="330" t="s">
        <v>285</v>
      </c>
      <c r="J11" s="353"/>
      <c r="K11" s="424"/>
      <c r="L11" s="109">
        <v>1.5</v>
      </c>
      <c r="M11" s="330" t="s">
        <v>285</v>
      </c>
      <c r="N11" s="109">
        <v>1.5</v>
      </c>
      <c r="O11" s="361" t="s">
        <v>285</v>
      </c>
      <c r="P11" s="417">
        <v>1.5</v>
      </c>
      <c r="Q11" s="361" t="s">
        <v>285</v>
      </c>
      <c r="R11" s="417">
        <v>1.5</v>
      </c>
      <c r="S11" s="361" t="s">
        <v>285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41">
        <f t="shared" si="0"/>
        <v>10.5</v>
      </c>
      <c r="AD11" s="142">
        <f>8*1.5</f>
        <v>12</v>
      </c>
      <c r="AE11" s="100" t="s">
        <v>125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5"/>
      <c r="AY11" s="155"/>
      <c r="AZ11" s="155"/>
      <c r="BA11" s="155"/>
      <c r="BB11" s="155"/>
      <c r="BC11" s="138">
        <f t="shared" si="1"/>
        <v>0</v>
      </c>
      <c r="BD11" s="158">
        <v>0</v>
      </c>
      <c r="BE11" s="100" t="s">
        <v>125</v>
      </c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93">
        <v>4.5</v>
      </c>
      <c r="BU11" s="349" t="s">
        <v>285</v>
      </c>
      <c r="BV11" s="193">
        <v>4.5</v>
      </c>
      <c r="BW11" s="425" t="s">
        <v>88</v>
      </c>
      <c r="BX11" s="150"/>
      <c r="BY11" s="150"/>
      <c r="BZ11" s="155"/>
      <c r="CA11" s="155"/>
      <c r="CB11" s="155"/>
      <c r="CC11" s="155"/>
      <c r="CD11" s="155"/>
      <c r="CE11" s="155"/>
      <c r="CF11" s="146">
        <f t="shared" si="25"/>
        <v>9</v>
      </c>
      <c r="CG11" s="147">
        <f>2*4</f>
        <v>8</v>
      </c>
      <c r="CH11" s="146">
        <f t="shared" si="2"/>
        <v>9</v>
      </c>
      <c r="CI11" s="145">
        <f>SUM(BD11+CG11)</f>
        <v>8</v>
      </c>
      <c r="CJ11" s="108" t="s">
        <v>125</v>
      </c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41">
        <f t="shared" si="3"/>
        <v>0</v>
      </c>
      <c r="DF11" s="152">
        <v>0</v>
      </c>
      <c r="DG11" s="108" t="s">
        <v>125</v>
      </c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41">
        <f>SUM(DH11:EE11)</f>
        <v>0</v>
      </c>
      <c r="EG11" s="147">
        <v>0</v>
      </c>
      <c r="EH11" s="141">
        <f t="shared" si="4"/>
        <v>0</v>
      </c>
      <c r="EI11" s="142">
        <f t="shared" si="4"/>
        <v>0</v>
      </c>
      <c r="EJ11" s="108" t="s">
        <v>125</v>
      </c>
      <c r="EK11" s="155"/>
      <c r="EL11" s="155"/>
      <c r="EM11" s="155"/>
      <c r="EN11" s="155"/>
      <c r="EO11" s="109">
        <v>3</v>
      </c>
      <c r="EP11" s="334" t="s">
        <v>88</v>
      </c>
      <c r="EQ11" s="109"/>
      <c r="ER11" s="334"/>
      <c r="ES11" s="155"/>
      <c r="ET11" s="155"/>
      <c r="EU11" s="155"/>
      <c r="EV11" s="155"/>
      <c r="EW11" s="155"/>
      <c r="EX11" s="155"/>
      <c r="EY11" s="155"/>
      <c r="EZ11" s="155"/>
      <c r="FA11" s="185">
        <v>0</v>
      </c>
      <c r="FB11" s="186"/>
      <c r="FC11" s="150"/>
      <c r="FD11" s="150"/>
      <c r="FE11" s="150"/>
      <c r="FF11" s="150"/>
      <c r="FG11" s="150"/>
      <c r="FH11" s="150"/>
      <c r="FI11" s="150"/>
      <c r="FJ11" s="150"/>
      <c r="FK11" s="141">
        <f t="shared" si="5"/>
        <v>3</v>
      </c>
      <c r="FL11" s="147">
        <v>3</v>
      </c>
      <c r="FM11" s="100" t="s">
        <v>125</v>
      </c>
      <c r="FN11" s="141">
        <f t="shared" si="6"/>
        <v>10.5</v>
      </c>
      <c r="FO11" s="142">
        <f t="shared" si="7"/>
        <v>12</v>
      </c>
      <c r="FP11" s="138">
        <f t="shared" si="8"/>
        <v>0</v>
      </c>
      <c r="FQ11" s="145">
        <f t="shared" si="9"/>
        <v>0</v>
      </c>
      <c r="FR11" s="146">
        <f t="shared" si="10"/>
        <v>9</v>
      </c>
      <c r="FS11" s="147">
        <f t="shared" si="11"/>
        <v>8</v>
      </c>
      <c r="FT11" s="146">
        <f t="shared" si="12"/>
        <v>9</v>
      </c>
      <c r="FU11" s="145">
        <f t="shared" si="13"/>
        <v>8</v>
      </c>
      <c r="FV11" s="141">
        <f t="shared" si="14"/>
        <v>0</v>
      </c>
      <c r="FW11" s="142">
        <f t="shared" si="15"/>
        <v>0</v>
      </c>
      <c r="FX11" s="141">
        <f t="shared" si="16"/>
        <v>0</v>
      </c>
      <c r="FY11" s="142">
        <f t="shared" si="17"/>
        <v>0</v>
      </c>
      <c r="FZ11" s="141">
        <f t="shared" si="18"/>
        <v>0</v>
      </c>
      <c r="GA11" s="142">
        <f t="shared" si="19"/>
        <v>0</v>
      </c>
      <c r="GB11" s="141">
        <f t="shared" si="20"/>
        <v>19.5</v>
      </c>
      <c r="GC11" s="142">
        <f t="shared" si="21"/>
        <v>20</v>
      </c>
      <c r="GD11" s="181">
        <f t="shared" si="22"/>
        <v>3</v>
      </c>
      <c r="GE11" s="182">
        <f t="shared" si="23"/>
        <v>3</v>
      </c>
      <c r="GG11" s="168">
        <f t="shared" si="24"/>
        <v>22.5</v>
      </c>
      <c r="GH11" s="184">
        <f t="shared" si="26"/>
        <v>23</v>
      </c>
      <c r="GI11" s="292">
        <f>'[1]lær-tímar'!H86</f>
        <v>22.5</v>
      </c>
      <c r="GJ11" s="292">
        <f t="shared" si="27"/>
        <v>0</v>
      </c>
    </row>
    <row r="12" spans="1:192" ht="12.75">
      <c r="A12" s="100" t="s">
        <v>227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8"/>
      <c r="U12" s="148"/>
      <c r="V12" s="148"/>
      <c r="W12" s="148"/>
      <c r="X12" s="148"/>
      <c r="Y12" s="148"/>
      <c r="Z12" s="148"/>
      <c r="AA12" s="148"/>
      <c r="AB12" s="148"/>
      <c r="AC12" s="141">
        <f t="shared" si="0"/>
        <v>0</v>
      </c>
      <c r="AD12" s="142">
        <v>0</v>
      </c>
      <c r="AE12" s="100" t="s">
        <v>227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8"/>
      <c r="AY12" s="148"/>
      <c r="AZ12" s="148"/>
      <c r="BA12" s="148"/>
      <c r="BB12" s="148"/>
      <c r="BC12" s="138">
        <f t="shared" si="1"/>
        <v>0</v>
      </c>
      <c r="BD12" s="158">
        <v>0</v>
      </c>
      <c r="BE12" s="100" t="s">
        <v>227</v>
      </c>
      <c r="BF12" s="109">
        <v>4</v>
      </c>
      <c r="BG12" s="373" t="s">
        <v>306</v>
      </c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6">
        <f t="shared" si="25"/>
        <v>4</v>
      </c>
      <c r="CG12" s="147">
        <v>4</v>
      </c>
      <c r="CH12" s="146">
        <f t="shared" si="2"/>
        <v>4</v>
      </c>
      <c r="CI12" s="145">
        <v>0</v>
      </c>
      <c r="CJ12" s="108" t="s">
        <v>227</v>
      </c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1">
        <f t="shared" si="3"/>
        <v>0</v>
      </c>
      <c r="DF12" s="152">
        <v>0</v>
      </c>
      <c r="DG12" s="108" t="s">
        <v>227</v>
      </c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1">
        <f>SUM(DH12:EE12)</f>
        <v>0</v>
      </c>
      <c r="EG12" s="147">
        <v>0</v>
      </c>
      <c r="EH12" s="141">
        <f t="shared" si="4"/>
        <v>0</v>
      </c>
      <c r="EI12" s="142">
        <f t="shared" si="4"/>
        <v>0</v>
      </c>
      <c r="EJ12" s="108" t="s">
        <v>227</v>
      </c>
      <c r="EK12" s="148"/>
      <c r="EL12" s="148"/>
      <c r="EM12" s="148"/>
      <c r="EN12" s="148"/>
      <c r="EO12" s="148"/>
      <c r="EP12" s="148"/>
      <c r="EQ12" s="140"/>
      <c r="ER12" s="140"/>
      <c r="ES12" s="140"/>
      <c r="ET12" s="140"/>
      <c r="EU12" s="148"/>
      <c r="EV12" s="148"/>
      <c r="EW12" s="148"/>
      <c r="EX12" s="148"/>
      <c r="EY12" s="148"/>
      <c r="EZ12" s="148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1">
        <f t="shared" si="5"/>
        <v>0</v>
      </c>
      <c r="FL12" s="147">
        <v>0</v>
      </c>
      <c r="FM12" s="100" t="s">
        <v>227</v>
      </c>
      <c r="FN12" s="141">
        <f t="shared" si="6"/>
        <v>0</v>
      </c>
      <c r="FO12" s="142">
        <f t="shared" si="7"/>
        <v>0</v>
      </c>
      <c r="FP12" s="138">
        <f t="shared" si="8"/>
        <v>0</v>
      </c>
      <c r="FQ12" s="145">
        <f t="shared" si="9"/>
        <v>0</v>
      </c>
      <c r="FR12" s="146">
        <f t="shared" si="10"/>
        <v>4</v>
      </c>
      <c r="FS12" s="147">
        <f t="shared" si="11"/>
        <v>4</v>
      </c>
      <c r="FT12" s="146">
        <f t="shared" si="12"/>
        <v>4</v>
      </c>
      <c r="FU12" s="145">
        <f t="shared" si="13"/>
        <v>0</v>
      </c>
      <c r="FV12" s="141">
        <f t="shared" si="14"/>
        <v>0</v>
      </c>
      <c r="FW12" s="142">
        <f t="shared" si="15"/>
        <v>0</v>
      </c>
      <c r="FX12" s="141">
        <f t="shared" si="16"/>
        <v>0</v>
      </c>
      <c r="FY12" s="142">
        <f t="shared" si="17"/>
        <v>0</v>
      </c>
      <c r="FZ12" s="141">
        <f t="shared" si="18"/>
        <v>0</v>
      </c>
      <c r="GA12" s="142">
        <f t="shared" si="19"/>
        <v>0</v>
      </c>
      <c r="GB12" s="141">
        <f t="shared" si="20"/>
        <v>4</v>
      </c>
      <c r="GC12" s="142">
        <f t="shared" si="21"/>
        <v>0</v>
      </c>
      <c r="GD12" s="181">
        <f t="shared" si="22"/>
        <v>0</v>
      </c>
      <c r="GE12" s="182">
        <f t="shared" si="23"/>
        <v>0</v>
      </c>
      <c r="GG12" s="168">
        <f t="shared" si="24"/>
        <v>4</v>
      </c>
      <c r="GH12" s="184">
        <f t="shared" si="26"/>
        <v>0</v>
      </c>
      <c r="GI12" s="292">
        <f>'[1]lær-tímar'!I86</f>
        <v>4</v>
      </c>
      <c r="GJ12" s="292">
        <f t="shared" si="27"/>
        <v>0</v>
      </c>
    </row>
    <row r="13" spans="1:192" ht="12.75">
      <c r="A13" s="100" t="s">
        <v>127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5"/>
      <c r="U13" s="155"/>
      <c r="V13" s="155"/>
      <c r="W13" s="155"/>
      <c r="X13" s="155"/>
      <c r="Y13" s="155"/>
      <c r="Z13" s="155"/>
      <c r="AA13" s="155"/>
      <c r="AB13" s="155"/>
      <c r="AC13" s="141">
        <f t="shared" si="0"/>
        <v>0</v>
      </c>
      <c r="AD13" s="142">
        <v>0</v>
      </c>
      <c r="AE13" s="100" t="s">
        <v>127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5"/>
      <c r="AY13" s="155"/>
      <c r="AZ13" s="155"/>
      <c r="BA13" s="155"/>
      <c r="BB13" s="155"/>
      <c r="BC13" s="138">
        <f t="shared" si="1"/>
        <v>0</v>
      </c>
      <c r="BD13" s="158">
        <v>0</v>
      </c>
      <c r="BE13" s="100" t="s">
        <v>127</v>
      </c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417">
        <f>IF(AND(CA3&lt;&gt;0,CA3*0.067&gt;=0.5),4.5+(CA3*0.067),5)</f>
        <v>5</v>
      </c>
      <c r="CA13" s="426" t="s">
        <v>325</v>
      </c>
      <c r="CB13" s="155"/>
      <c r="CC13" s="155"/>
      <c r="CD13" s="155"/>
      <c r="CE13" s="155"/>
      <c r="CF13" s="146">
        <f t="shared" si="25"/>
        <v>5</v>
      </c>
      <c r="CG13" s="147">
        <v>0</v>
      </c>
      <c r="CH13" s="146">
        <f t="shared" si="2"/>
        <v>5</v>
      </c>
      <c r="CI13" s="145">
        <v>0</v>
      </c>
      <c r="CJ13" s="108" t="s">
        <v>127</v>
      </c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41">
        <f t="shared" si="3"/>
        <v>0</v>
      </c>
      <c r="DF13" s="152">
        <v>0</v>
      </c>
      <c r="DG13" s="108" t="s">
        <v>127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41">
        <f>SUM(DH13:EE13)</f>
        <v>0</v>
      </c>
      <c r="EG13" s="147">
        <v>0</v>
      </c>
      <c r="EH13" s="141">
        <f t="shared" si="4"/>
        <v>0</v>
      </c>
      <c r="EI13" s="142">
        <f t="shared" si="4"/>
        <v>0</v>
      </c>
      <c r="EJ13" s="108" t="s">
        <v>127</v>
      </c>
      <c r="EK13" s="155"/>
      <c r="EL13" s="155"/>
      <c r="EM13" s="155"/>
      <c r="EN13" s="155"/>
      <c r="EO13" s="155"/>
      <c r="EP13" s="155"/>
      <c r="EQ13" s="150"/>
      <c r="ER13" s="150"/>
      <c r="ES13" s="150"/>
      <c r="ET13" s="150"/>
      <c r="EU13" s="155"/>
      <c r="EV13" s="155"/>
      <c r="EW13" s="155"/>
      <c r="EX13" s="155"/>
      <c r="EY13" s="155"/>
      <c r="EZ13" s="155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41">
        <f t="shared" si="5"/>
        <v>0</v>
      </c>
      <c r="FL13" s="147">
        <v>0</v>
      </c>
      <c r="FM13" s="100" t="s">
        <v>127</v>
      </c>
      <c r="FN13" s="141">
        <f t="shared" si="6"/>
        <v>0</v>
      </c>
      <c r="FO13" s="142">
        <f t="shared" si="7"/>
        <v>0</v>
      </c>
      <c r="FP13" s="138">
        <f t="shared" si="8"/>
        <v>0</v>
      </c>
      <c r="FQ13" s="145">
        <f t="shared" si="9"/>
        <v>0</v>
      </c>
      <c r="FR13" s="146">
        <f t="shared" si="10"/>
        <v>5</v>
      </c>
      <c r="FS13" s="147">
        <f t="shared" si="11"/>
        <v>0</v>
      </c>
      <c r="FT13" s="146">
        <f t="shared" si="12"/>
        <v>5</v>
      </c>
      <c r="FU13" s="145">
        <f t="shared" si="13"/>
        <v>0</v>
      </c>
      <c r="FV13" s="141">
        <f t="shared" si="14"/>
        <v>0</v>
      </c>
      <c r="FW13" s="142">
        <f t="shared" si="15"/>
        <v>0</v>
      </c>
      <c r="FX13" s="141">
        <f t="shared" si="16"/>
        <v>0</v>
      </c>
      <c r="FY13" s="142">
        <f t="shared" si="17"/>
        <v>0</v>
      </c>
      <c r="FZ13" s="141">
        <f t="shared" si="18"/>
        <v>0</v>
      </c>
      <c r="GA13" s="142">
        <f t="shared" si="19"/>
        <v>0</v>
      </c>
      <c r="GB13" s="141">
        <f t="shared" si="20"/>
        <v>5</v>
      </c>
      <c r="GC13" s="142">
        <f t="shared" si="21"/>
        <v>0</v>
      </c>
      <c r="GD13" s="181">
        <f t="shared" si="22"/>
        <v>0</v>
      </c>
      <c r="GE13" s="182">
        <f t="shared" si="23"/>
        <v>0</v>
      </c>
      <c r="GG13" s="168">
        <f t="shared" si="24"/>
        <v>5</v>
      </c>
      <c r="GH13" s="184">
        <f t="shared" si="26"/>
        <v>0</v>
      </c>
      <c r="GI13" s="292">
        <f>'[1]lær-tímar'!I86</f>
        <v>4</v>
      </c>
      <c r="GJ13" s="292">
        <f t="shared" si="27"/>
        <v>1</v>
      </c>
    </row>
    <row r="14" spans="1:192" ht="12.75">
      <c r="A14" s="100" t="s">
        <v>128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8"/>
      <c r="U14" s="148"/>
      <c r="V14" s="148"/>
      <c r="W14" s="148"/>
      <c r="X14" s="148"/>
      <c r="Y14" s="148"/>
      <c r="Z14" s="148"/>
      <c r="AA14" s="148"/>
      <c r="AB14" s="148"/>
      <c r="AC14" s="141">
        <f t="shared" si="0"/>
        <v>0</v>
      </c>
      <c r="AD14" s="142">
        <v>0</v>
      </c>
      <c r="AE14" s="100" t="s">
        <v>128</v>
      </c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8"/>
      <c r="AY14" s="148"/>
      <c r="AZ14" s="148"/>
      <c r="BA14" s="148"/>
      <c r="BB14" s="148"/>
      <c r="BC14" s="138">
        <f t="shared" si="1"/>
        <v>0</v>
      </c>
      <c r="BD14" s="158">
        <v>0</v>
      </c>
      <c r="BE14" s="100" t="s">
        <v>128</v>
      </c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417">
        <v>4</v>
      </c>
      <c r="CC14" s="427" t="s">
        <v>278</v>
      </c>
      <c r="CD14" s="148"/>
      <c r="CE14" s="148"/>
      <c r="CF14" s="146">
        <f t="shared" si="25"/>
        <v>4</v>
      </c>
      <c r="CG14" s="147">
        <v>0</v>
      </c>
      <c r="CH14" s="146">
        <f t="shared" si="2"/>
        <v>4</v>
      </c>
      <c r="CI14" s="145">
        <v>0</v>
      </c>
      <c r="CJ14" s="108" t="s">
        <v>128</v>
      </c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1">
        <f t="shared" si="3"/>
        <v>0</v>
      </c>
      <c r="DF14" s="152">
        <v>0</v>
      </c>
      <c r="DG14" s="108" t="s">
        <v>128</v>
      </c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1">
        <f>SUM(DH14:EE14)</f>
        <v>0</v>
      </c>
      <c r="EG14" s="147">
        <v>0</v>
      </c>
      <c r="EH14" s="141">
        <f t="shared" si="4"/>
        <v>0</v>
      </c>
      <c r="EI14" s="142">
        <f t="shared" si="4"/>
        <v>0</v>
      </c>
      <c r="EJ14" s="108" t="s">
        <v>128</v>
      </c>
      <c r="EK14" s="148"/>
      <c r="EL14" s="148"/>
      <c r="EM14" s="148"/>
      <c r="EN14" s="148"/>
      <c r="EO14" s="148"/>
      <c r="EP14" s="148"/>
      <c r="EQ14" s="140"/>
      <c r="ER14" s="140"/>
      <c r="ES14" s="140"/>
      <c r="ET14" s="140"/>
      <c r="EU14" s="148"/>
      <c r="EV14" s="148"/>
      <c r="EW14" s="148"/>
      <c r="EX14" s="148"/>
      <c r="EY14" s="148"/>
      <c r="EZ14" s="148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1">
        <f t="shared" si="5"/>
        <v>0</v>
      </c>
      <c r="FL14" s="147">
        <v>0</v>
      </c>
      <c r="FM14" s="100" t="s">
        <v>128</v>
      </c>
      <c r="FN14" s="141">
        <f t="shared" si="6"/>
        <v>0</v>
      </c>
      <c r="FO14" s="142">
        <f t="shared" si="7"/>
        <v>0</v>
      </c>
      <c r="FP14" s="138">
        <f t="shared" si="8"/>
        <v>0</v>
      </c>
      <c r="FQ14" s="145">
        <f t="shared" si="9"/>
        <v>0</v>
      </c>
      <c r="FR14" s="146">
        <f t="shared" si="10"/>
        <v>4</v>
      </c>
      <c r="FS14" s="147">
        <f t="shared" si="11"/>
        <v>0</v>
      </c>
      <c r="FT14" s="146">
        <f t="shared" si="12"/>
        <v>4</v>
      </c>
      <c r="FU14" s="145">
        <f t="shared" si="13"/>
        <v>0</v>
      </c>
      <c r="FV14" s="141">
        <f t="shared" si="14"/>
        <v>0</v>
      </c>
      <c r="FW14" s="142">
        <f t="shared" si="15"/>
        <v>0</v>
      </c>
      <c r="FX14" s="141">
        <f t="shared" si="16"/>
        <v>0</v>
      </c>
      <c r="FY14" s="142">
        <f t="shared" si="17"/>
        <v>0</v>
      </c>
      <c r="FZ14" s="141">
        <f t="shared" si="18"/>
        <v>0</v>
      </c>
      <c r="GA14" s="142">
        <f t="shared" si="19"/>
        <v>0</v>
      </c>
      <c r="GB14" s="141">
        <f t="shared" si="20"/>
        <v>4</v>
      </c>
      <c r="GC14" s="142">
        <f t="shared" si="21"/>
        <v>0</v>
      </c>
      <c r="GD14" s="181">
        <f t="shared" si="22"/>
        <v>0</v>
      </c>
      <c r="GE14" s="182">
        <f t="shared" si="23"/>
        <v>0</v>
      </c>
      <c r="GG14" s="168">
        <f t="shared" si="24"/>
        <v>4</v>
      </c>
      <c r="GH14" s="184">
        <f t="shared" si="26"/>
        <v>0</v>
      </c>
      <c r="GI14" s="292">
        <f>'[1]lær-tímar'!K86</f>
        <v>4</v>
      </c>
      <c r="GJ14" s="292">
        <f t="shared" si="27"/>
        <v>0</v>
      </c>
    </row>
    <row r="15" spans="1:192" ht="12.75">
      <c r="A15" s="100" t="s">
        <v>129</v>
      </c>
      <c r="B15" s="151"/>
      <c r="C15" s="151"/>
      <c r="D15" s="151"/>
      <c r="E15" s="151"/>
      <c r="F15" s="109">
        <f>IF(AND(G3&lt;&gt;0,G3*0.022&gt;=0.5),4+(G3*0.022),4.5)</f>
        <v>4.5</v>
      </c>
      <c r="G15" s="340" t="s">
        <v>108</v>
      </c>
      <c r="H15" s="347"/>
      <c r="I15" s="356"/>
      <c r="J15" s="356"/>
      <c r="K15" s="356"/>
      <c r="L15" s="151"/>
      <c r="M15" s="151"/>
      <c r="N15" s="109">
        <f>IF(AND(O2&lt;&gt;0,O2*0.022&gt;=0.5),4+(O2*0.022),4.5)</f>
        <v>4.5280000000000005</v>
      </c>
      <c r="O15" s="361" t="s">
        <v>108</v>
      </c>
      <c r="P15" s="151"/>
      <c r="Q15" s="151"/>
      <c r="R15" s="109"/>
      <c r="S15" s="143"/>
      <c r="T15" s="155"/>
      <c r="U15" s="155"/>
      <c r="V15" s="155"/>
      <c r="W15" s="155"/>
      <c r="X15" s="155"/>
      <c r="Y15" s="155"/>
      <c r="Z15" s="155"/>
      <c r="AA15" s="155"/>
      <c r="AB15" s="155"/>
      <c r="AC15" s="141">
        <f t="shared" si="0"/>
        <v>9.028</v>
      </c>
      <c r="AD15" s="142">
        <f>2*4</f>
        <v>8</v>
      </c>
      <c r="AE15" s="100" t="s">
        <v>129</v>
      </c>
      <c r="AF15" s="151"/>
      <c r="AG15" s="151"/>
      <c r="AH15" s="151"/>
      <c r="AI15" s="151"/>
      <c r="AJ15" s="109">
        <f>IF(AND((AK3)&lt;&gt;0,(AK3)*0.033&gt;=0.5),4+((AK3)*0.033),4.5)</f>
        <v>4.5</v>
      </c>
      <c r="AK15" s="428" t="s">
        <v>108</v>
      </c>
      <c r="AL15" s="151"/>
      <c r="AM15" s="151"/>
      <c r="AN15" s="151"/>
      <c r="AO15" s="151"/>
      <c r="AP15" s="109">
        <f>IF(AND((AQ3)&lt;&gt;0,(AQ3)*0.033&gt;=0.5),4+((AQ3)*0.033),4.5)</f>
        <v>4.5</v>
      </c>
      <c r="AQ15" s="330" t="s">
        <v>292</v>
      </c>
      <c r="AR15" s="151"/>
      <c r="AS15" s="151"/>
      <c r="AT15" s="151"/>
      <c r="AU15" s="151"/>
      <c r="AV15" s="155"/>
      <c r="AW15" s="155"/>
      <c r="AX15" s="155"/>
      <c r="AY15" s="155"/>
      <c r="AZ15" s="155"/>
      <c r="BA15" s="155"/>
      <c r="BB15" s="155"/>
      <c r="BC15" s="138">
        <f t="shared" si="1"/>
        <v>9</v>
      </c>
      <c r="BD15" s="158">
        <f>2*4</f>
        <v>8</v>
      </c>
      <c r="BE15" s="100" t="s">
        <v>129</v>
      </c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46">
        <f t="shared" si="25"/>
        <v>0</v>
      </c>
      <c r="CG15" s="147">
        <v>0</v>
      </c>
      <c r="CH15" s="146">
        <f t="shared" si="2"/>
        <v>9</v>
      </c>
      <c r="CI15" s="145">
        <f>SUM(BD15+CG15)</f>
        <v>8</v>
      </c>
      <c r="CJ15" s="108" t="s">
        <v>129</v>
      </c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41">
        <f t="shared" si="3"/>
        <v>0</v>
      </c>
      <c r="DF15" s="152">
        <v>0</v>
      </c>
      <c r="DG15" s="108" t="s">
        <v>129</v>
      </c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09">
        <f>IF(AND(DS2&lt;&gt;0,DS2*0.134&gt;=0.5),5+(DS2*0.134),5.5)</f>
        <v>6.474</v>
      </c>
      <c r="DS15" s="188" t="s">
        <v>161</v>
      </c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41">
        <f>SUM(DH15:EE15)</f>
        <v>6.474</v>
      </c>
      <c r="EG15" s="145">
        <v>5</v>
      </c>
      <c r="EH15" s="141">
        <f t="shared" si="4"/>
        <v>6.474</v>
      </c>
      <c r="EI15" s="142">
        <f t="shared" si="4"/>
        <v>5</v>
      </c>
      <c r="EJ15" s="108" t="s">
        <v>129</v>
      </c>
      <c r="EK15" s="155"/>
      <c r="EL15" s="155"/>
      <c r="EM15" s="155"/>
      <c r="EN15" s="155"/>
      <c r="EO15" s="109">
        <f>IF(AND(ET3&lt;&gt;0,ET3*0.028&gt;=0.5),4+(ET3*0.028),4.5)</f>
        <v>4.5</v>
      </c>
      <c r="EP15" s="160" t="s">
        <v>161</v>
      </c>
      <c r="EQ15" s="150"/>
      <c r="ER15" s="150"/>
      <c r="ES15" s="150"/>
      <c r="ET15" s="150"/>
      <c r="EU15" s="155"/>
      <c r="EV15" s="155"/>
      <c r="EW15" s="155"/>
      <c r="EX15" s="155"/>
      <c r="EY15" s="155"/>
      <c r="EZ15" s="155"/>
      <c r="FA15" s="109"/>
      <c r="FB15" s="186" t="s">
        <v>326</v>
      </c>
      <c r="FC15" s="150"/>
      <c r="FD15" s="150"/>
      <c r="FE15" s="150"/>
      <c r="FF15" s="150"/>
      <c r="FG15" s="150"/>
      <c r="FH15" s="150"/>
      <c r="FI15" s="150"/>
      <c r="FJ15" s="150"/>
      <c r="FK15" s="141">
        <f t="shared" si="5"/>
        <v>4.5</v>
      </c>
      <c r="FL15" s="145">
        <v>0</v>
      </c>
      <c r="FM15" s="100" t="s">
        <v>129</v>
      </c>
      <c r="FN15" s="141">
        <f t="shared" si="6"/>
        <v>9.028</v>
      </c>
      <c r="FO15" s="142">
        <f t="shared" si="7"/>
        <v>8</v>
      </c>
      <c r="FP15" s="138">
        <f t="shared" si="8"/>
        <v>9</v>
      </c>
      <c r="FQ15" s="145">
        <f t="shared" si="9"/>
        <v>8</v>
      </c>
      <c r="FR15" s="146">
        <f t="shared" si="10"/>
        <v>0</v>
      </c>
      <c r="FS15" s="147">
        <f t="shared" si="11"/>
        <v>0</v>
      </c>
      <c r="FT15" s="146">
        <f t="shared" si="12"/>
        <v>9</v>
      </c>
      <c r="FU15" s="145">
        <f t="shared" si="13"/>
        <v>8</v>
      </c>
      <c r="FV15" s="141">
        <f t="shared" si="14"/>
        <v>0</v>
      </c>
      <c r="FW15" s="142">
        <f t="shared" si="15"/>
        <v>0</v>
      </c>
      <c r="FX15" s="141">
        <f t="shared" si="16"/>
        <v>6.474</v>
      </c>
      <c r="FY15" s="142">
        <f t="shared" si="17"/>
        <v>5</v>
      </c>
      <c r="FZ15" s="141">
        <f t="shared" si="18"/>
        <v>6.474</v>
      </c>
      <c r="GA15" s="142">
        <f t="shared" si="19"/>
        <v>5</v>
      </c>
      <c r="GB15" s="141">
        <f t="shared" si="20"/>
        <v>24.502</v>
      </c>
      <c r="GC15" s="142">
        <f t="shared" si="21"/>
        <v>21</v>
      </c>
      <c r="GD15" s="181">
        <f t="shared" si="22"/>
        <v>4.5</v>
      </c>
      <c r="GE15" s="182">
        <f t="shared" si="23"/>
        <v>0</v>
      </c>
      <c r="GG15" s="168">
        <f t="shared" si="24"/>
        <v>29.002</v>
      </c>
      <c r="GH15" s="184">
        <f t="shared" si="26"/>
        <v>21</v>
      </c>
      <c r="GI15" s="292">
        <f>'[1]lær-tímar'!L86</f>
        <v>29.002000000000002</v>
      </c>
      <c r="GJ15" s="292">
        <f t="shared" si="27"/>
        <v>0</v>
      </c>
    </row>
    <row r="16" spans="1:192" ht="12.75">
      <c r="A16" s="100" t="s">
        <v>130</v>
      </c>
      <c r="B16" s="109">
        <f>IF(AND(B3&lt;&gt;0,B3*0.119&gt;=0.5),4.375+(B3*0.119),4.875)</f>
        <v>6.993</v>
      </c>
      <c r="C16" s="143" t="s">
        <v>287</v>
      </c>
      <c r="D16" s="109">
        <f>IF(AND(D3&lt;&gt;0,D3*0.119&gt;=0.5),4.375+(D3*0.119),4.875)</f>
        <v>6.874</v>
      </c>
      <c r="E16" s="361" t="s">
        <v>228</v>
      </c>
      <c r="F16" s="109">
        <f>IF(AND(F3&lt;&gt;0,F3*0.119&gt;=0.5),4.375+(F3*0.119),4.875)</f>
        <v>6.5169999999999995</v>
      </c>
      <c r="G16" s="331" t="s">
        <v>324</v>
      </c>
      <c r="H16" s="429"/>
      <c r="I16" s="331" t="s">
        <v>294</v>
      </c>
      <c r="J16" s="353"/>
      <c r="K16" s="430"/>
      <c r="L16" s="109">
        <f>IF(AND(L3&lt;&gt;0,L3*0.119&gt;=0.5),4.375+(L3*0.119),4.875)</f>
        <v>7.231</v>
      </c>
      <c r="M16" s="331" t="s">
        <v>273</v>
      </c>
      <c r="N16" s="109">
        <f>IF(AND(N3&lt;&gt;0,N3*0.119&gt;=0.5),4.375+(N3*0.119),4.875)</f>
        <v>7.231</v>
      </c>
      <c r="O16" s="331" t="s">
        <v>324</v>
      </c>
      <c r="P16" s="109">
        <f>IF(AND(P3&lt;&gt;0,P3*0.119&gt;=0.5),4.375+(P3*0.119),4.875)</f>
        <v>7.231</v>
      </c>
      <c r="Q16" s="339" t="s">
        <v>273</v>
      </c>
      <c r="R16" s="109">
        <f>IF(AND(R3&lt;&gt;0,R3*0.119&gt;=0.5),4.375+(R3*0.119),4.875)</f>
        <v>7.231</v>
      </c>
      <c r="S16" s="431" t="s">
        <v>228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1">
        <f t="shared" si="0"/>
        <v>49.30800000000001</v>
      </c>
      <c r="AD16" s="142">
        <f>8*4</f>
        <v>32</v>
      </c>
      <c r="AE16" s="100" t="s">
        <v>130</v>
      </c>
      <c r="AF16" s="109">
        <f>IF(AND(AF3&lt;&gt;0,AF3*0.119&gt;=0.5),3+(AF3*0.119),3.5)</f>
        <v>5.023</v>
      </c>
      <c r="AG16" s="361" t="s">
        <v>99</v>
      </c>
      <c r="AH16" s="109">
        <f>IF(AND(AH3&lt;&gt;0,AH3*0.119&gt;=0.5),3+(AH3*0.119),3.5)</f>
        <v>5.618</v>
      </c>
      <c r="AI16" s="143" t="s">
        <v>96</v>
      </c>
      <c r="AJ16" s="109">
        <f>IF(AND(AJ3&lt;&gt;0,AJ3*0.119&gt;=0.5),3+(AJ3*0.119),3.5)</f>
        <v>4.428</v>
      </c>
      <c r="AK16" s="361" t="s">
        <v>91</v>
      </c>
      <c r="AL16" s="109">
        <f>IF(AND(AL3&lt;&gt;0,AL3*0.119&gt;=0.5),3+(AL3*0.119),3.5)</f>
        <v>5.499</v>
      </c>
      <c r="AM16" s="331" t="s">
        <v>309</v>
      </c>
      <c r="AN16" s="109"/>
      <c r="AO16" s="143"/>
      <c r="AP16" s="109">
        <f>IF(AND(AP3&lt;&gt;0,AP3*0.119&gt;=0.5),3+(AP3*0.119),3.5)</f>
        <v>5.618</v>
      </c>
      <c r="AQ16" s="361" t="s">
        <v>287</v>
      </c>
      <c r="AR16" s="109">
        <f>IF(AND(AR3&lt;&gt;0,AR3*0.119&gt;=0.5),3+(AR3*0.119),3.5)</f>
        <v>4.904</v>
      </c>
      <c r="AS16" s="331" t="s">
        <v>307</v>
      </c>
      <c r="AT16" s="109">
        <f>IF(AND(AT3&lt;&gt;0,AT3*0.119&gt;=0.5),3+(AT3*0.119),3.5)</f>
        <v>5.261</v>
      </c>
      <c r="AU16" s="331" t="s">
        <v>308</v>
      </c>
      <c r="AV16" s="109">
        <f>IF(AND(AV3&lt;&gt;0,AV3*0.119&gt;=0.5),3+(AV3*0.119),3.5)</f>
        <v>5.499</v>
      </c>
      <c r="AW16" s="331" t="s">
        <v>294</v>
      </c>
      <c r="AX16" s="148"/>
      <c r="AY16" s="148"/>
      <c r="AZ16" s="148"/>
      <c r="BA16" s="148"/>
      <c r="BB16" s="148"/>
      <c r="BC16" s="138">
        <f t="shared" si="1"/>
        <v>41.85</v>
      </c>
      <c r="BD16" s="158">
        <f>7*3</f>
        <v>21</v>
      </c>
      <c r="BE16" s="100" t="s">
        <v>130</v>
      </c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6">
        <f t="shared" si="25"/>
        <v>0</v>
      </c>
      <c r="CG16" s="147">
        <v>0</v>
      </c>
      <c r="CH16" s="146">
        <f t="shared" si="2"/>
        <v>41.85</v>
      </c>
      <c r="CI16" s="145">
        <f>SUM(BD16+CG16)</f>
        <v>21</v>
      </c>
      <c r="CJ16" s="108" t="s">
        <v>130</v>
      </c>
      <c r="CK16" s="109"/>
      <c r="CL16" s="334"/>
      <c r="CM16" s="109">
        <f>IF(AND(CM3&lt;&gt;0,CM3*0.119&gt;=0.5),5+(CM3*0.119),5.5)</f>
        <v>7.737</v>
      </c>
      <c r="CN16" s="112" t="s">
        <v>288</v>
      </c>
      <c r="CO16" s="109">
        <f>IF(AND(CO3&lt;&gt;0,CO3*0.119&gt;=0.5),5+(CO3*0.119),5.5)</f>
        <v>7.856</v>
      </c>
      <c r="CP16" s="362" t="s">
        <v>228</v>
      </c>
      <c r="CQ16" s="109">
        <f>IF(AND(CQ3&lt;&gt;0,CQ3*0.119&gt;=0.5),5+(CQ3*0.119),5.5)</f>
        <v>7.856</v>
      </c>
      <c r="CR16" s="362" t="s">
        <v>110</v>
      </c>
      <c r="CS16" s="109"/>
      <c r="CT16" s="338"/>
      <c r="CU16" s="109">
        <f>IF(AND(CU3&lt;&gt;0,CU3*0.119&gt;=0.5),5+(CU3*0.119),5.5)</f>
        <v>7.499</v>
      </c>
      <c r="CV16" s="331" t="s">
        <v>294</v>
      </c>
      <c r="CW16" s="109">
        <f>IF(AND(CW3&lt;&gt;0,CW3*0.119&gt;=0.5),5+(CW3*0.119),5.5)</f>
        <v>7.38</v>
      </c>
      <c r="CX16" s="362" t="s">
        <v>96</v>
      </c>
      <c r="CY16" s="109">
        <f>IF(AND(CY3&lt;&gt;0,CY3*0.119&gt;=0.5),5+(CY3*0.119),5.5)</f>
        <v>7.618</v>
      </c>
      <c r="CZ16" s="334" t="s">
        <v>273</v>
      </c>
      <c r="DA16" s="148"/>
      <c r="DB16" s="148"/>
      <c r="DC16" s="148"/>
      <c r="DD16" s="148"/>
      <c r="DE16" s="141">
        <f t="shared" si="3"/>
        <v>45.946</v>
      </c>
      <c r="DF16" s="152">
        <f>8*5</f>
        <v>40</v>
      </c>
      <c r="DG16" s="108" t="s">
        <v>130</v>
      </c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1">
        <f>SUM(DH16:EE16)</f>
        <v>0</v>
      </c>
      <c r="EG16" s="145">
        <v>0</v>
      </c>
      <c r="EH16" s="141">
        <f t="shared" si="4"/>
        <v>45.946</v>
      </c>
      <c r="EI16" s="142">
        <f t="shared" si="4"/>
        <v>40</v>
      </c>
      <c r="EJ16" s="108" t="s">
        <v>130</v>
      </c>
      <c r="EK16" s="109">
        <f>IF(AND(EK3&lt;&gt;0,EK3*0.1&gt;=0.5),5+(EK3*0.1),5.5)</f>
        <v>7.2</v>
      </c>
      <c r="EL16" s="362" t="s">
        <v>255</v>
      </c>
      <c r="EM16" s="109">
        <f>IF(AND(EM3&lt;&gt;0,EM3*0.1&gt;=0.5),5+(EM3*0.1),5.5)</f>
        <v>7.2</v>
      </c>
      <c r="EN16" s="362" t="s">
        <v>287</v>
      </c>
      <c r="EO16" s="148"/>
      <c r="EP16" s="148"/>
      <c r="EQ16" s="140"/>
      <c r="ER16" s="140"/>
      <c r="ES16" s="140"/>
      <c r="ET16" s="140"/>
      <c r="EU16" s="109">
        <f>IF(AND(EU3&lt;&gt;0,EU3*0.1&gt;=0.5),5+(EU3*0.1),5.5)</f>
        <v>6.9</v>
      </c>
      <c r="EV16" s="331" t="s">
        <v>309</v>
      </c>
      <c r="EW16" s="109">
        <f>IF(AND(EW3&lt;&gt;0,EW3*0.1&gt;=0.5),5+(EW3*0.1),5.5)</f>
        <v>6.7</v>
      </c>
      <c r="EX16" s="334" t="s">
        <v>307</v>
      </c>
      <c r="EY16" s="109"/>
      <c r="EZ16" s="112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1">
        <f t="shared" si="5"/>
        <v>28</v>
      </c>
      <c r="FL16" s="145">
        <f>4*4</f>
        <v>16</v>
      </c>
      <c r="FM16" s="100" t="s">
        <v>130</v>
      </c>
      <c r="FN16" s="141">
        <f t="shared" si="6"/>
        <v>49.30800000000001</v>
      </c>
      <c r="FO16" s="142">
        <f t="shared" si="7"/>
        <v>32</v>
      </c>
      <c r="FP16" s="138">
        <f t="shared" si="8"/>
        <v>41.85</v>
      </c>
      <c r="FQ16" s="145">
        <f t="shared" si="9"/>
        <v>21</v>
      </c>
      <c r="FR16" s="146">
        <f t="shared" si="10"/>
        <v>0</v>
      </c>
      <c r="FS16" s="147">
        <f t="shared" si="11"/>
        <v>0</v>
      </c>
      <c r="FT16" s="146">
        <f t="shared" si="12"/>
        <v>41.85</v>
      </c>
      <c r="FU16" s="145">
        <f t="shared" si="13"/>
        <v>21</v>
      </c>
      <c r="FV16" s="141">
        <f t="shared" si="14"/>
        <v>45.946</v>
      </c>
      <c r="FW16" s="142">
        <f t="shared" si="15"/>
        <v>40</v>
      </c>
      <c r="FX16" s="141">
        <f t="shared" si="16"/>
        <v>0</v>
      </c>
      <c r="FY16" s="142">
        <f t="shared" si="17"/>
        <v>0</v>
      </c>
      <c r="FZ16" s="141">
        <f t="shared" si="18"/>
        <v>45.946</v>
      </c>
      <c r="GA16" s="142">
        <f t="shared" si="19"/>
        <v>40</v>
      </c>
      <c r="GB16" s="141">
        <f t="shared" si="20"/>
        <v>137.104</v>
      </c>
      <c r="GC16" s="142">
        <f t="shared" si="21"/>
        <v>93</v>
      </c>
      <c r="GD16" s="181">
        <f t="shared" si="22"/>
        <v>28</v>
      </c>
      <c r="GE16" s="182">
        <f t="shared" si="23"/>
        <v>16</v>
      </c>
      <c r="GG16" s="168">
        <f t="shared" si="24"/>
        <v>165.104</v>
      </c>
      <c r="GH16" s="184">
        <f t="shared" si="26"/>
        <v>109</v>
      </c>
      <c r="GI16" s="292">
        <f>'[1]lær-tímar'!M86</f>
        <v>165.104</v>
      </c>
      <c r="GJ16" s="292">
        <f t="shared" si="27"/>
        <v>0</v>
      </c>
    </row>
    <row r="17" spans="1:192" ht="12.75">
      <c r="A17" s="100" t="s">
        <v>131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5"/>
      <c r="U17" s="155"/>
      <c r="V17" s="155"/>
      <c r="W17" s="155"/>
      <c r="X17" s="155"/>
      <c r="Y17" s="155"/>
      <c r="Z17" s="155"/>
      <c r="AA17" s="155"/>
      <c r="AB17" s="155"/>
      <c r="AC17" s="141">
        <f t="shared" si="0"/>
        <v>0</v>
      </c>
      <c r="AD17" s="142">
        <v>0</v>
      </c>
      <c r="AE17" s="100" t="s">
        <v>131</v>
      </c>
      <c r="AF17" s="109">
        <f>IF(AND(AF3&lt;&gt;0,AF3*0.02&gt;=0.5),3+(AF3*0.02),3.5)</f>
        <v>3.5</v>
      </c>
      <c r="AG17" s="143" t="s">
        <v>103</v>
      </c>
      <c r="AH17" s="109">
        <f>IF(AND(AH3&lt;&gt;0,AH3*0.02&gt;=0.5),3+(AH3*0.02),3.5)</f>
        <v>3.5</v>
      </c>
      <c r="AI17" s="143" t="s">
        <v>103</v>
      </c>
      <c r="AJ17" s="109">
        <f>IF(AND(AJ3&lt;&gt;0,AJ3*0.02&gt;=0.5),3+(AJ3*0.02),3.5)</f>
        <v>3.5</v>
      </c>
      <c r="AK17" s="331" t="s">
        <v>292</v>
      </c>
      <c r="AL17" s="109">
        <f>IF(AND(AL3&lt;&gt;0,AL3*0.02&gt;=0.5),3+(AL3*0.02),3.5)</f>
        <v>3.5</v>
      </c>
      <c r="AM17" s="361" t="s">
        <v>290</v>
      </c>
      <c r="AN17" s="109"/>
      <c r="AO17" s="330"/>
      <c r="AP17" s="109">
        <f>IF(AND(AP3&lt;&gt;0,AP3*0.02&gt;=0.5),3+(AP3*0.02),3.5)</f>
        <v>3.5</v>
      </c>
      <c r="AQ17" s="331" t="s">
        <v>292</v>
      </c>
      <c r="AR17" s="109">
        <f>IF(AND(AR3&lt;&gt;0,AR3*0.02&gt;=0.5),3+(AR3*0.02),3.5)</f>
        <v>3.5</v>
      </c>
      <c r="AS17" s="361" t="s">
        <v>303</v>
      </c>
      <c r="AT17" s="109">
        <f>IF(AND(AT3&lt;&gt;0,AT3*0.02&gt;=0.5),3+(AT3*0.02),3.5)</f>
        <v>3.5</v>
      </c>
      <c r="AU17" s="367" t="s">
        <v>290</v>
      </c>
      <c r="AV17" s="109">
        <f>IF(AND(AV3&lt;&gt;0,AV3*0.02&gt;=0.5),3+(AV3*0.02),3.5)</f>
        <v>3.5</v>
      </c>
      <c r="AW17" s="143" t="s">
        <v>290</v>
      </c>
      <c r="AX17" s="155"/>
      <c r="AY17" s="155"/>
      <c r="AZ17" s="155"/>
      <c r="BA17" s="155"/>
      <c r="BB17" s="155"/>
      <c r="BC17" s="138">
        <f t="shared" si="1"/>
        <v>28</v>
      </c>
      <c r="BD17" s="158">
        <f>7*3</f>
        <v>21</v>
      </c>
      <c r="BE17" s="100" t="s">
        <v>131</v>
      </c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46">
        <f t="shared" si="25"/>
        <v>0</v>
      </c>
      <c r="CG17" s="147">
        <v>0</v>
      </c>
      <c r="CH17" s="146">
        <f t="shared" si="2"/>
        <v>28</v>
      </c>
      <c r="CI17" s="145">
        <f>SUM(BD17+CG17)</f>
        <v>21</v>
      </c>
      <c r="CJ17" s="108" t="s">
        <v>131</v>
      </c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41">
        <f t="shared" si="3"/>
        <v>0</v>
      </c>
      <c r="DF17" s="152">
        <v>0</v>
      </c>
      <c r="DG17" s="108" t="s">
        <v>131</v>
      </c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41">
        <f>SUM(DH17:EE17)</f>
        <v>0</v>
      </c>
      <c r="EG17" s="145">
        <v>0</v>
      </c>
      <c r="EH17" s="141">
        <f t="shared" si="4"/>
        <v>0</v>
      </c>
      <c r="EI17" s="142">
        <f t="shared" si="4"/>
        <v>0</v>
      </c>
      <c r="EJ17" s="108" t="s">
        <v>131</v>
      </c>
      <c r="EK17" s="155"/>
      <c r="EL17" s="155"/>
      <c r="EM17" s="155"/>
      <c r="EN17" s="155"/>
      <c r="EO17" s="155"/>
      <c r="EP17" s="155"/>
      <c r="EQ17" s="150"/>
      <c r="ER17" s="150"/>
      <c r="ES17" s="150"/>
      <c r="ET17" s="150"/>
      <c r="EU17" s="109">
        <f>IF(AND(EU3&lt;&gt;0,EU3*0.02&gt;=0.5),3+(EU3*0.02),3.5)</f>
        <v>3.5</v>
      </c>
      <c r="EV17" s="365" t="s">
        <v>303</v>
      </c>
      <c r="EW17" s="109">
        <f>IF(AND(EW3&lt;&gt;0,EW3*0.02&gt;=0.5),3+(EW3*0.02),3.5)</f>
        <v>3.5</v>
      </c>
      <c r="EX17" s="365" t="s">
        <v>303</v>
      </c>
      <c r="EY17" s="109"/>
      <c r="EZ17" s="159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41">
        <f t="shared" si="5"/>
        <v>7</v>
      </c>
      <c r="FL17" s="145">
        <f>3+3</f>
        <v>6</v>
      </c>
      <c r="FM17" s="100" t="s">
        <v>131</v>
      </c>
      <c r="FN17" s="141">
        <f t="shared" si="6"/>
        <v>0</v>
      </c>
      <c r="FO17" s="142">
        <f t="shared" si="7"/>
        <v>0</v>
      </c>
      <c r="FP17" s="138">
        <f t="shared" si="8"/>
        <v>28</v>
      </c>
      <c r="FQ17" s="145">
        <f t="shared" si="9"/>
        <v>21</v>
      </c>
      <c r="FR17" s="146">
        <f t="shared" si="10"/>
        <v>0</v>
      </c>
      <c r="FS17" s="147">
        <f t="shared" si="11"/>
        <v>0</v>
      </c>
      <c r="FT17" s="146">
        <f t="shared" si="12"/>
        <v>28</v>
      </c>
      <c r="FU17" s="145">
        <f t="shared" si="13"/>
        <v>21</v>
      </c>
      <c r="FV17" s="141">
        <f t="shared" si="14"/>
        <v>0</v>
      </c>
      <c r="FW17" s="142">
        <f t="shared" si="15"/>
        <v>0</v>
      </c>
      <c r="FX17" s="141">
        <f t="shared" si="16"/>
        <v>0</v>
      </c>
      <c r="FY17" s="142">
        <f t="shared" si="17"/>
        <v>0</v>
      </c>
      <c r="FZ17" s="141">
        <f t="shared" si="18"/>
        <v>0</v>
      </c>
      <c r="GA17" s="142">
        <f t="shared" si="19"/>
        <v>0</v>
      </c>
      <c r="GB17" s="141">
        <f t="shared" si="20"/>
        <v>28</v>
      </c>
      <c r="GC17" s="142">
        <f t="shared" si="21"/>
        <v>21</v>
      </c>
      <c r="GD17" s="181">
        <f t="shared" si="22"/>
        <v>7</v>
      </c>
      <c r="GE17" s="182">
        <f t="shared" si="23"/>
        <v>6</v>
      </c>
      <c r="GG17" s="168">
        <f t="shared" si="24"/>
        <v>35</v>
      </c>
      <c r="GH17" s="184">
        <f t="shared" si="26"/>
        <v>27</v>
      </c>
      <c r="GI17" s="292">
        <f>'[1]lær-tímar'!N86</f>
        <v>35</v>
      </c>
      <c r="GJ17" s="292">
        <f t="shared" si="27"/>
        <v>0</v>
      </c>
    </row>
    <row r="18" spans="1:192" ht="12.75">
      <c r="A18" s="100" t="s">
        <v>132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8"/>
      <c r="U18" s="148"/>
      <c r="V18" s="148"/>
      <c r="W18" s="148"/>
      <c r="X18" s="148"/>
      <c r="Y18" s="148"/>
      <c r="Z18" s="148"/>
      <c r="AA18" s="148"/>
      <c r="AB18" s="148"/>
      <c r="AC18" s="141">
        <f t="shared" si="0"/>
        <v>0</v>
      </c>
      <c r="AD18" s="142">
        <v>0</v>
      </c>
      <c r="AE18" s="100" t="s">
        <v>132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8"/>
      <c r="AY18" s="148"/>
      <c r="AZ18" s="148"/>
      <c r="BA18" s="148"/>
      <c r="BB18" s="148"/>
      <c r="BC18" s="138">
        <f t="shared" si="1"/>
        <v>0</v>
      </c>
      <c r="BD18" s="158">
        <v>0</v>
      </c>
      <c r="BE18" s="100" t="s">
        <v>132</v>
      </c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6">
        <f t="shared" si="25"/>
        <v>0</v>
      </c>
      <c r="CG18" s="147">
        <v>0</v>
      </c>
      <c r="CH18" s="146">
        <f t="shared" si="2"/>
        <v>0</v>
      </c>
      <c r="CI18" s="145">
        <v>0</v>
      </c>
      <c r="CJ18" s="108" t="s">
        <v>132</v>
      </c>
      <c r="CK18" s="144"/>
      <c r="CL18" s="148"/>
      <c r="CM18" s="144"/>
      <c r="CN18" s="148"/>
      <c r="CO18" s="144"/>
      <c r="CP18" s="148"/>
      <c r="CQ18" s="144"/>
      <c r="CR18" s="148"/>
      <c r="CS18" s="144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1">
        <f t="shared" si="3"/>
        <v>0</v>
      </c>
      <c r="DF18" s="152">
        <v>0</v>
      </c>
      <c r="DG18" s="108" t="s">
        <v>132</v>
      </c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41">
        <f>SUM(DH18:EE18)</f>
        <v>0</v>
      </c>
      <c r="EG18" s="147">
        <v>0</v>
      </c>
      <c r="EH18" s="141">
        <f t="shared" si="4"/>
        <v>0</v>
      </c>
      <c r="EI18" s="142">
        <f t="shared" si="4"/>
        <v>0</v>
      </c>
      <c r="EJ18" s="140"/>
      <c r="EK18" s="148"/>
      <c r="EL18" s="148"/>
      <c r="EM18" s="148"/>
      <c r="EN18" s="148"/>
      <c r="EO18" s="148"/>
      <c r="EP18" s="148"/>
      <c r="EQ18" s="140"/>
      <c r="ER18" s="140"/>
      <c r="ES18" s="140"/>
      <c r="ET18" s="140"/>
      <c r="EU18" s="148"/>
      <c r="EV18" s="148"/>
      <c r="EW18" s="148"/>
      <c r="EX18" s="148"/>
      <c r="EY18" s="148"/>
      <c r="EZ18" s="148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1">
        <f t="shared" si="5"/>
        <v>0</v>
      </c>
      <c r="FL18" s="147">
        <v>0</v>
      </c>
      <c r="FM18" s="100" t="s">
        <v>132</v>
      </c>
      <c r="FN18" s="141">
        <f t="shared" si="6"/>
        <v>0</v>
      </c>
      <c r="FO18" s="142">
        <f t="shared" si="7"/>
        <v>0</v>
      </c>
      <c r="FP18" s="138">
        <f t="shared" si="8"/>
        <v>0</v>
      </c>
      <c r="FQ18" s="145">
        <f t="shared" si="9"/>
        <v>0</v>
      </c>
      <c r="FR18" s="146">
        <f t="shared" si="10"/>
        <v>0</v>
      </c>
      <c r="FS18" s="147">
        <f t="shared" si="11"/>
        <v>0</v>
      </c>
      <c r="FT18" s="146">
        <f t="shared" si="12"/>
        <v>0</v>
      </c>
      <c r="FU18" s="145">
        <f t="shared" si="13"/>
        <v>0</v>
      </c>
      <c r="FV18" s="141">
        <f t="shared" si="14"/>
        <v>0</v>
      </c>
      <c r="FW18" s="142">
        <f t="shared" si="15"/>
        <v>0</v>
      </c>
      <c r="FX18" s="141">
        <f t="shared" si="16"/>
        <v>0</v>
      </c>
      <c r="FY18" s="142">
        <f t="shared" si="17"/>
        <v>0</v>
      </c>
      <c r="FZ18" s="141">
        <f t="shared" si="18"/>
        <v>0</v>
      </c>
      <c r="GA18" s="142">
        <f t="shared" si="19"/>
        <v>0</v>
      </c>
      <c r="GB18" s="141">
        <f t="shared" si="20"/>
        <v>0</v>
      </c>
      <c r="GC18" s="142">
        <f t="shared" si="21"/>
        <v>0</v>
      </c>
      <c r="GD18" s="181">
        <f t="shared" si="22"/>
        <v>0</v>
      </c>
      <c r="GE18" s="182">
        <f t="shared" si="23"/>
        <v>0</v>
      </c>
      <c r="GG18" s="168">
        <f t="shared" si="24"/>
        <v>0</v>
      </c>
      <c r="GH18" s="184">
        <f t="shared" si="26"/>
        <v>0</v>
      </c>
      <c r="GI18" s="292">
        <f>'[1]lær-tímar'!O86</f>
        <v>0</v>
      </c>
      <c r="GJ18" s="292">
        <f t="shared" si="27"/>
        <v>0</v>
      </c>
    </row>
    <row r="19" spans="1:192" ht="12.75">
      <c r="A19" s="100" t="s">
        <v>282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5"/>
      <c r="U19" s="155"/>
      <c r="V19" s="155"/>
      <c r="W19" s="155"/>
      <c r="X19" s="155"/>
      <c r="Y19" s="155"/>
      <c r="Z19" s="155"/>
      <c r="AA19" s="155"/>
      <c r="AB19" s="155"/>
      <c r="AC19" s="141">
        <f t="shared" si="0"/>
        <v>0</v>
      </c>
      <c r="AD19" s="142">
        <v>0</v>
      </c>
      <c r="AE19" s="100" t="s">
        <v>282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5"/>
      <c r="AY19" s="155"/>
      <c r="AZ19" s="155"/>
      <c r="BA19" s="155"/>
      <c r="BB19" s="155"/>
      <c r="BC19" s="138">
        <f t="shared" si="1"/>
        <v>0</v>
      </c>
      <c r="BD19" s="158">
        <v>0</v>
      </c>
      <c r="BE19" s="100" t="s">
        <v>282</v>
      </c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09">
        <v>4</v>
      </c>
      <c r="BQ19" s="373" t="s">
        <v>305</v>
      </c>
      <c r="BR19" s="347"/>
      <c r="BS19" s="346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46">
        <f t="shared" si="25"/>
        <v>4</v>
      </c>
      <c r="CG19" s="145">
        <v>4</v>
      </c>
      <c r="CH19" s="146">
        <f t="shared" si="2"/>
        <v>4</v>
      </c>
      <c r="CI19" s="145">
        <f>SUM(BD19+CG19)</f>
        <v>4</v>
      </c>
      <c r="CJ19" s="108" t="s">
        <v>282</v>
      </c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41">
        <f t="shared" si="3"/>
        <v>0</v>
      </c>
      <c r="DF19" s="152">
        <v>0</v>
      </c>
      <c r="DG19" s="108" t="s">
        <v>282</v>
      </c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41">
        <f>SUM(DH19:EE19)</f>
        <v>0</v>
      </c>
      <c r="EG19" s="147">
        <v>0</v>
      </c>
      <c r="EH19" s="141">
        <f t="shared" si="4"/>
        <v>0</v>
      </c>
      <c r="EI19" s="142">
        <f t="shared" si="4"/>
        <v>0</v>
      </c>
      <c r="EJ19" s="108" t="s">
        <v>282</v>
      </c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41">
        <f t="shared" si="5"/>
        <v>0</v>
      </c>
      <c r="FL19" s="147">
        <v>0</v>
      </c>
      <c r="FM19" s="100" t="s">
        <v>282</v>
      </c>
      <c r="FN19" s="141">
        <f t="shared" si="6"/>
        <v>0</v>
      </c>
      <c r="FO19" s="142">
        <f t="shared" si="7"/>
        <v>0</v>
      </c>
      <c r="FP19" s="138">
        <f t="shared" si="8"/>
        <v>0</v>
      </c>
      <c r="FQ19" s="145">
        <f t="shared" si="9"/>
        <v>0</v>
      </c>
      <c r="FR19" s="146">
        <f t="shared" si="10"/>
        <v>4</v>
      </c>
      <c r="FS19" s="147">
        <f t="shared" si="11"/>
        <v>4</v>
      </c>
      <c r="FT19" s="146">
        <f t="shared" si="12"/>
        <v>4</v>
      </c>
      <c r="FU19" s="145">
        <f t="shared" si="13"/>
        <v>4</v>
      </c>
      <c r="FV19" s="141">
        <f t="shared" si="14"/>
        <v>0</v>
      </c>
      <c r="FW19" s="142">
        <f t="shared" si="15"/>
        <v>0</v>
      </c>
      <c r="FX19" s="141">
        <f t="shared" si="16"/>
        <v>0</v>
      </c>
      <c r="FY19" s="142">
        <f t="shared" si="17"/>
        <v>0</v>
      </c>
      <c r="FZ19" s="141">
        <f t="shared" si="18"/>
        <v>0</v>
      </c>
      <c r="GA19" s="142">
        <f t="shared" si="19"/>
        <v>0</v>
      </c>
      <c r="GB19" s="141">
        <f t="shared" si="20"/>
        <v>4</v>
      </c>
      <c r="GC19" s="142">
        <f t="shared" si="21"/>
        <v>4</v>
      </c>
      <c r="GD19" s="181">
        <f t="shared" si="22"/>
        <v>0</v>
      </c>
      <c r="GE19" s="182">
        <f t="shared" si="23"/>
        <v>0</v>
      </c>
      <c r="GG19" s="168">
        <f t="shared" si="24"/>
        <v>4</v>
      </c>
      <c r="GH19" s="184">
        <f t="shared" si="26"/>
        <v>4</v>
      </c>
      <c r="GI19" s="292">
        <f>'[1]lær-tímar'!P86</f>
        <v>4</v>
      </c>
      <c r="GJ19" s="292">
        <f t="shared" si="27"/>
        <v>0</v>
      </c>
    </row>
    <row r="20" spans="1:192" ht="12.75">
      <c r="A20" s="100" t="s">
        <v>134</v>
      </c>
      <c r="B20" s="191">
        <v>3</v>
      </c>
      <c r="C20" s="192" t="s">
        <v>289</v>
      </c>
      <c r="D20" s="191">
        <v>3</v>
      </c>
      <c r="E20" s="192" t="s">
        <v>289</v>
      </c>
      <c r="F20" s="191">
        <v>3</v>
      </c>
      <c r="G20" s="192" t="s">
        <v>289</v>
      </c>
      <c r="H20" s="191"/>
      <c r="I20" s="432" t="s">
        <v>267</v>
      </c>
      <c r="J20" s="353"/>
      <c r="K20" s="433"/>
      <c r="L20" s="358">
        <v>3</v>
      </c>
      <c r="M20" s="192" t="s">
        <v>90</v>
      </c>
      <c r="N20" s="191">
        <v>3</v>
      </c>
      <c r="O20" s="192" t="s">
        <v>289</v>
      </c>
      <c r="P20" s="191">
        <v>3</v>
      </c>
      <c r="Q20" s="192" t="s">
        <v>289</v>
      </c>
      <c r="R20" s="191">
        <v>4</v>
      </c>
      <c r="S20" s="192" t="s">
        <v>289</v>
      </c>
      <c r="T20" s="148"/>
      <c r="U20" s="148"/>
      <c r="V20" s="148"/>
      <c r="W20" s="148"/>
      <c r="X20" s="148"/>
      <c r="Y20" s="148"/>
      <c r="Z20" s="148"/>
      <c r="AA20" s="148"/>
      <c r="AB20" s="148"/>
      <c r="AC20" s="141">
        <f t="shared" si="0"/>
        <v>22</v>
      </c>
      <c r="AD20" s="157">
        <f>AC20</f>
        <v>22</v>
      </c>
      <c r="AE20" s="100" t="s">
        <v>134</v>
      </c>
      <c r="AF20" s="191">
        <v>3</v>
      </c>
      <c r="AG20" s="192" t="s">
        <v>110</v>
      </c>
      <c r="AH20" s="191">
        <v>3</v>
      </c>
      <c r="AI20" s="192"/>
      <c r="AJ20" s="191">
        <v>3</v>
      </c>
      <c r="AK20" s="192"/>
      <c r="AL20" s="191">
        <v>3</v>
      </c>
      <c r="AM20" s="192" t="s">
        <v>90</v>
      </c>
      <c r="AN20" s="191"/>
      <c r="AO20" s="192"/>
      <c r="AP20" s="191">
        <v>3</v>
      </c>
      <c r="AQ20" s="192" t="s">
        <v>110</v>
      </c>
      <c r="AR20" s="191">
        <v>3</v>
      </c>
      <c r="AS20" s="192"/>
      <c r="AT20" s="191">
        <v>3</v>
      </c>
      <c r="AU20" s="192"/>
      <c r="AV20" s="191">
        <v>3</v>
      </c>
      <c r="AW20" s="192" t="s">
        <v>90</v>
      </c>
      <c r="AX20" s="148"/>
      <c r="AY20" s="148"/>
      <c r="AZ20" s="148"/>
      <c r="BA20" s="148"/>
      <c r="BB20" s="148"/>
      <c r="BC20" s="138">
        <f t="shared" si="1"/>
        <v>24</v>
      </c>
      <c r="BD20" s="158">
        <f>BC20</f>
        <v>24</v>
      </c>
      <c r="BE20" s="100" t="s">
        <v>134</v>
      </c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417">
        <f>IF(AND(CE2&lt;&gt;0,CE2*0.022&gt;=0.5),(4+0)+(CE2*0.022),4.5)</f>
        <v>4.5</v>
      </c>
      <c r="CC20" s="361" t="s">
        <v>110</v>
      </c>
      <c r="CD20" s="417">
        <f>IF(AND(CE3&lt;&gt;0,CE3*0.022&gt;=0.5),(4+0)+(CE3*0.022),4.5)</f>
        <v>4.5</v>
      </c>
      <c r="CE20" s="361" t="s">
        <v>289</v>
      </c>
      <c r="CF20" s="146">
        <f t="shared" si="25"/>
        <v>9</v>
      </c>
      <c r="CG20" s="147">
        <v>0</v>
      </c>
      <c r="CH20" s="146">
        <f aca="true" t="shared" si="28" ref="CH20:CI42">SUM(BC20+CF20)</f>
        <v>33</v>
      </c>
      <c r="CI20" s="145">
        <f>SUM(BD20+CG20)</f>
        <v>24</v>
      </c>
      <c r="CJ20" s="108" t="s">
        <v>134</v>
      </c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1">
        <f t="shared" si="3"/>
        <v>0</v>
      </c>
      <c r="DF20" s="152">
        <v>0</v>
      </c>
      <c r="DG20" s="108" t="s">
        <v>134</v>
      </c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1">
        <f>SUM(DH20:EE20)</f>
        <v>0</v>
      </c>
      <c r="EG20" s="147">
        <v>4</v>
      </c>
      <c r="EH20" s="141">
        <f t="shared" si="4"/>
        <v>0</v>
      </c>
      <c r="EI20" s="142">
        <f t="shared" si="4"/>
        <v>4</v>
      </c>
      <c r="EJ20" s="108" t="s">
        <v>134</v>
      </c>
      <c r="EK20" s="148"/>
      <c r="EL20" s="148"/>
      <c r="EM20" s="148"/>
      <c r="EN20" s="148"/>
      <c r="EO20" s="129"/>
      <c r="EP20" s="366"/>
      <c r="EQ20" s="129">
        <v>3</v>
      </c>
      <c r="ER20" s="434" t="s">
        <v>313</v>
      </c>
      <c r="ES20" s="148"/>
      <c r="ET20" s="148"/>
      <c r="EU20" s="148"/>
      <c r="EV20" s="148"/>
      <c r="EW20" s="148"/>
      <c r="EX20" s="148"/>
      <c r="EY20" s="140"/>
      <c r="EZ20" s="148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1">
        <f t="shared" si="5"/>
        <v>3</v>
      </c>
      <c r="FL20" s="158">
        <f>FK20</f>
        <v>3</v>
      </c>
      <c r="FM20" s="100" t="s">
        <v>134</v>
      </c>
      <c r="FN20" s="141">
        <f t="shared" si="6"/>
        <v>22</v>
      </c>
      <c r="FO20" s="142">
        <f t="shared" si="7"/>
        <v>22</v>
      </c>
      <c r="FP20" s="138">
        <f t="shared" si="8"/>
        <v>24</v>
      </c>
      <c r="FQ20" s="145">
        <f t="shared" si="9"/>
        <v>24</v>
      </c>
      <c r="FR20" s="146">
        <f t="shared" si="10"/>
        <v>9</v>
      </c>
      <c r="FS20" s="147">
        <f t="shared" si="11"/>
        <v>0</v>
      </c>
      <c r="FT20" s="146">
        <f t="shared" si="12"/>
        <v>33</v>
      </c>
      <c r="FU20" s="145">
        <f t="shared" si="13"/>
        <v>24</v>
      </c>
      <c r="FV20" s="141">
        <f t="shared" si="14"/>
        <v>0</v>
      </c>
      <c r="FW20" s="142">
        <f t="shared" si="15"/>
        <v>0</v>
      </c>
      <c r="FX20" s="141">
        <f t="shared" si="16"/>
        <v>0</v>
      </c>
      <c r="FY20" s="142">
        <f t="shared" si="17"/>
        <v>4</v>
      </c>
      <c r="FZ20" s="141">
        <f t="shared" si="18"/>
        <v>0</v>
      </c>
      <c r="GA20" s="142">
        <f t="shared" si="19"/>
        <v>4</v>
      </c>
      <c r="GB20" s="141">
        <f t="shared" si="20"/>
        <v>55</v>
      </c>
      <c r="GC20" s="142">
        <f t="shared" si="21"/>
        <v>50</v>
      </c>
      <c r="GD20" s="181">
        <f t="shared" si="22"/>
        <v>3</v>
      </c>
      <c r="GE20" s="182">
        <f t="shared" si="23"/>
        <v>3</v>
      </c>
      <c r="GG20" s="168">
        <f t="shared" si="24"/>
        <v>58</v>
      </c>
      <c r="GH20" s="184">
        <f t="shared" si="26"/>
        <v>53</v>
      </c>
      <c r="GI20" s="292">
        <f>'[1]lær-tímar'!Q86</f>
        <v>58</v>
      </c>
      <c r="GJ20" s="292">
        <f t="shared" si="27"/>
        <v>0</v>
      </c>
    </row>
    <row r="21" spans="2:192" ht="12.75">
      <c r="B21" s="435" t="s">
        <v>90</v>
      </c>
      <c r="C21" s="194"/>
      <c r="D21" s="193"/>
      <c r="E21" s="194"/>
      <c r="F21" s="193"/>
      <c r="G21" s="194"/>
      <c r="H21" s="193"/>
      <c r="I21" s="194"/>
      <c r="J21" s="347"/>
      <c r="K21" s="360"/>
      <c r="L21" s="359" t="s">
        <v>289</v>
      </c>
      <c r="M21" s="194"/>
      <c r="N21" s="193"/>
      <c r="O21" s="194"/>
      <c r="P21" s="193"/>
      <c r="Q21" s="194"/>
      <c r="R21" s="193"/>
      <c r="S21" s="194"/>
      <c r="T21" s="155"/>
      <c r="U21" s="155"/>
      <c r="V21" s="155"/>
      <c r="W21" s="155"/>
      <c r="X21" s="155"/>
      <c r="Y21" s="155"/>
      <c r="Z21" s="155"/>
      <c r="AA21" s="155"/>
      <c r="AB21" s="155"/>
      <c r="AC21" s="141">
        <f t="shared" si="0"/>
        <v>0</v>
      </c>
      <c r="AD21" s="142">
        <v>0</v>
      </c>
      <c r="AF21" s="193"/>
      <c r="AG21" s="194"/>
      <c r="AH21" s="193"/>
      <c r="AI21" s="194"/>
      <c r="AJ21" s="193"/>
      <c r="AK21" s="194"/>
      <c r="AL21" s="193"/>
      <c r="AM21" s="194"/>
      <c r="AN21" s="193"/>
      <c r="AO21" s="194"/>
      <c r="AP21" s="193"/>
      <c r="AQ21" s="194"/>
      <c r="AR21" s="193"/>
      <c r="AS21" s="194"/>
      <c r="AT21" s="193"/>
      <c r="AU21" s="194"/>
      <c r="AV21" s="193"/>
      <c r="AW21" s="194"/>
      <c r="AX21" s="155"/>
      <c r="AY21" s="155"/>
      <c r="AZ21" s="155"/>
      <c r="BA21" s="155"/>
      <c r="BB21" s="155"/>
      <c r="BC21" s="138">
        <f t="shared" si="1"/>
        <v>0</v>
      </c>
      <c r="BD21" s="158">
        <v>0</v>
      </c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46">
        <f>SUM(BF21:CE21)</f>
        <v>0</v>
      </c>
      <c r="CG21" s="147">
        <v>0</v>
      </c>
      <c r="CH21" s="146">
        <f t="shared" si="28"/>
        <v>0</v>
      </c>
      <c r="CI21" s="145">
        <v>0</v>
      </c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41">
        <f t="shared" si="3"/>
        <v>0</v>
      </c>
      <c r="DF21" s="152">
        <v>0</v>
      </c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41">
        <f>SUM(DH21:EE21)</f>
        <v>0</v>
      </c>
      <c r="EG21" s="147">
        <v>0</v>
      </c>
      <c r="EH21" s="141">
        <f t="shared" si="4"/>
        <v>0</v>
      </c>
      <c r="EI21" s="142">
        <f t="shared" si="4"/>
        <v>0</v>
      </c>
      <c r="EK21" s="155"/>
      <c r="EL21" s="155"/>
      <c r="EM21" s="155"/>
      <c r="EN21" s="155"/>
      <c r="EO21" s="189"/>
      <c r="EP21" s="190"/>
      <c r="EQ21" s="189"/>
      <c r="ER21" s="190"/>
      <c r="ES21" s="155"/>
      <c r="ET21" s="155"/>
      <c r="EU21" s="155"/>
      <c r="EV21" s="155"/>
      <c r="EW21" s="155"/>
      <c r="EX21" s="155"/>
      <c r="EY21" s="155"/>
      <c r="EZ21" s="155"/>
      <c r="FA21" s="150"/>
      <c r="FB21" s="150"/>
      <c r="FC21" s="150"/>
      <c r="FD21" s="150"/>
      <c r="FE21" s="155"/>
      <c r="FF21" s="155"/>
      <c r="FG21" s="150"/>
      <c r="FH21" s="150"/>
      <c r="FI21" s="150"/>
      <c r="FJ21" s="150"/>
      <c r="FK21" s="141">
        <f t="shared" si="5"/>
        <v>0</v>
      </c>
      <c r="FL21" s="147">
        <v>0</v>
      </c>
      <c r="FN21" s="141">
        <f t="shared" si="6"/>
        <v>0</v>
      </c>
      <c r="FO21" s="142">
        <f t="shared" si="7"/>
        <v>0</v>
      </c>
      <c r="FP21" s="138">
        <f t="shared" si="8"/>
        <v>0</v>
      </c>
      <c r="FQ21" s="145">
        <f t="shared" si="9"/>
        <v>0</v>
      </c>
      <c r="FR21" s="146">
        <f t="shared" si="10"/>
        <v>0</v>
      </c>
      <c r="FS21" s="147">
        <f t="shared" si="11"/>
        <v>0</v>
      </c>
      <c r="FT21" s="146">
        <f t="shared" si="12"/>
        <v>0</v>
      </c>
      <c r="FU21" s="145">
        <f t="shared" si="13"/>
        <v>0</v>
      </c>
      <c r="FV21" s="141">
        <f t="shared" si="14"/>
        <v>0</v>
      </c>
      <c r="FW21" s="142">
        <f t="shared" si="15"/>
        <v>0</v>
      </c>
      <c r="FX21" s="141">
        <f t="shared" si="16"/>
        <v>0</v>
      </c>
      <c r="FY21" s="142">
        <f t="shared" si="17"/>
        <v>0</v>
      </c>
      <c r="FZ21" s="141">
        <f t="shared" si="18"/>
        <v>0</v>
      </c>
      <c r="GA21" s="142">
        <f t="shared" si="19"/>
        <v>0</v>
      </c>
      <c r="GB21" s="141">
        <f t="shared" si="20"/>
        <v>0</v>
      </c>
      <c r="GC21" s="142">
        <f t="shared" si="21"/>
        <v>0</v>
      </c>
      <c r="GD21" s="181">
        <f t="shared" si="22"/>
        <v>0</v>
      </c>
      <c r="GE21" s="182">
        <f t="shared" si="23"/>
        <v>0</v>
      </c>
      <c r="GG21" s="168">
        <f t="shared" si="24"/>
        <v>0</v>
      </c>
      <c r="GH21" s="184">
        <f t="shared" si="26"/>
        <v>0</v>
      </c>
      <c r="GJ21" s="292">
        <f t="shared" si="27"/>
        <v>0</v>
      </c>
    </row>
    <row r="22" spans="1:192" ht="12.75">
      <c r="A22" s="100" t="s">
        <v>230</v>
      </c>
      <c r="B22" s="109">
        <v>3</v>
      </c>
      <c r="C22" s="143" t="s">
        <v>113</v>
      </c>
      <c r="D22" s="109">
        <v>3</v>
      </c>
      <c r="E22" s="143" t="s">
        <v>288</v>
      </c>
      <c r="F22" s="109">
        <v>3</v>
      </c>
      <c r="G22" s="143" t="s">
        <v>113</v>
      </c>
      <c r="H22" s="193"/>
      <c r="I22" s="436" t="s">
        <v>269</v>
      </c>
      <c r="J22" s="353"/>
      <c r="K22" s="424"/>
      <c r="L22" s="144"/>
      <c r="M22" s="144"/>
      <c r="N22" s="144"/>
      <c r="O22" s="144"/>
      <c r="P22" s="144"/>
      <c r="Q22" s="144"/>
      <c r="R22" s="144"/>
      <c r="S22" s="144"/>
      <c r="T22" s="148"/>
      <c r="U22" s="148"/>
      <c r="V22" s="148"/>
      <c r="W22" s="148"/>
      <c r="X22" s="148"/>
      <c r="Y22" s="148"/>
      <c r="Z22" s="148"/>
      <c r="AA22" s="148"/>
      <c r="AB22" s="148"/>
      <c r="AC22" s="141">
        <f t="shared" si="0"/>
        <v>9</v>
      </c>
      <c r="AD22" s="142">
        <f>4*3</f>
        <v>12</v>
      </c>
      <c r="AE22" s="100" t="s">
        <v>230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8"/>
      <c r="AY22" s="148"/>
      <c r="AZ22" s="148"/>
      <c r="BA22" s="148"/>
      <c r="BB22" s="148"/>
      <c r="BC22" s="138">
        <f t="shared" si="1"/>
        <v>0</v>
      </c>
      <c r="BD22" s="158">
        <v>0</v>
      </c>
      <c r="BE22" s="100" t="s">
        <v>230</v>
      </c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6">
        <f t="shared" si="25"/>
        <v>0</v>
      </c>
      <c r="CG22" s="147">
        <v>0</v>
      </c>
      <c r="CH22" s="146">
        <f t="shared" si="28"/>
        <v>0</v>
      </c>
      <c r="CI22" s="145">
        <v>0</v>
      </c>
      <c r="CJ22" s="108" t="s">
        <v>230</v>
      </c>
      <c r="CK22" s="144"/>
      <c r="CL22" s="148"/>
      <c r="CM22" s="144"/>
      <c r="CN22" s="148"/>
      <c r="CO22" s="144"/>
      <c r="CP22" s="148"/>
      <c r="CQ22" s="144"/>
      <c r="CR22" s="148"/>
      <c r="CS22" s="144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1">
        <f t="shared" si="3"/>
        <v>0</v>
      </c>
      <c r="DF22" s="152">
        <v>0</v>
      </c>
      <c r="DG22" s="108" t="s">
        <v>230</v>
      </c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1">
        <f>SUM(DH22:EE22)</f>
        <v>0</v>
      </c>
      <c r="EG22" s="147">
        <v>0</v>
      </c>
      <c r="EH22" s="141">
        <f t="shared" si="4"/>
        <v>0</v>
      </c>
      <c r="EI22" s="142">
        <f t="shared" si="4"/>
        <v>0</v>
      </c>
      <c r="EJ22" s="140"/>
      <c r="EK22" s="148"/>
      <c r="EL22" s="148"/>
      <c r="EM22" s="148"/>
      <c r="EN22" s="148"/>
      <c r="EO22" s="148"/>
      <c r="EP22" s="148"/>
      <c r="EQ22" s="140"/>
      <c r="ER22" s="140"/>
      <c r="ES22" s="140"/>
      <c r="ET22" s="140"/>
      <c r="EU22" s="148"/>
      <c r="EV22" s="148"/>
      <c r="EW22" s="148"/>
      <c r="EX22" s="148"/>
      <c r="EY22" s="148"/>
      <c r="EZ22" s="148"/>
      <c r="FA22" s="140"/>
      <c r="FB22" s="140"/>
      <c r="FC22" s="140"/>
      <c r="FD22" s="140"/>
      <c r="FE22" s="148"/>
      <c r="FF22" s="148"/>
      <c r="FG22" s="140"/>
      <c r="FH22" s="140"/>
      <c r="FI22" s="140"/>
      <c r="FJ22" s="140"/>
      <c r="FK22" s="141">
        <f t="shared" si="5"/>
        <v>0</v>
      </c>
      <c r="FL22" s="147">
        <v>0</v>
      </c>
      <c r="FM22" s="100" t="s">
        <v>230</v>
      </c>
      <c r="FN22" s="141">
        <f t="shared" si="6"/>
        <v>9</v>
      </c>
      <c r="FO22" s="142">
        <f t="shared" si="7"/>
        <v>12</v>
      </c>
      <c r="FP22" s="138">
        <f t="shared" si="8"/>
        <v>0</v>
      </c>
      <c r="FQ22" s="145">
        <f t="shared" si="9"/>
        <v>0</v>
      </c>
      <c r="FR22" s="146">
        <f t="shared" si="10"/>
        <v>0</v>
      </c>
      <c r="FS22" s="147">
        <f t="shared" si="11"/>
        <v>0</v>
      </c>
      <c r="FT22" s="146">
        <f t="shared" si="12"/>
        <v>0</v>
      </c>
      <c r="FU22" s="145">
        <f t="shared" si="13"/>
        <v>0</v>
      </c>
      <c r="FV22" s="141">
        <f t="shared" si="14"/>
        <v>0</v>
      </c>
      <c r="FW22" s="142">
        <f t="shared" si="15"/>
        <v>0</v>
      </c>
      <c r="FX22" s="141">
        <f t="shared" si="16"/>
        <v>0</v>
      </c>
      <c r="FY22" s="142">
        <f t="shared" si="17"/>
        <v>0</v>
      </c>
      <c r="FZ22" s="141">
        <f t="shared" si="18"/>
        <v>0</v>
      </c>
      <c r="GA22" s="142">
        <f t="shared" si="19"/>
        <v>0</v>
      </c>
      <c r="GB22" s="141">
        <f t="shared" si="20"/>
        <v>9</v>
      </c>
      <c r="GC22" s="142">
        <f t="shared" si="21"/>
        <v>12</v>
      </c>
      <c r="GD22" s="181">
        <f t="shared" si="22"/>
        <v>0</v>
      </c>
      <c r="GE22" s="182">
        <f t="shared" si="23"/>
        <v>0</v>
      </c>
      <c r="GG22" s="168">
        <f t="shared" si="24"/>
        <v>9</v>
      </c>
      <c r="GH22" s="184">
        <f t="shared" si="26"/>
        <v>12</v>
      </c>
      <c r="GI22" s="292">
        <f>'[1]lær-tímar'!R86</f>
        <v>9</v>
      </c>
      <c r="GJ22" s="292">
        <f t="shared" si="27"/>
        <v>0</v>
      </c>
    </row>
    <row r="23" spans="1:192" ht="12.75">
      <c r="A23" s="100" t="s">
        <v>231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5"/>
      <c r="U23" s="155"/>
      <c r="V23" s="155"/>
      <c r="W23" s="155"/>
      <c r="X23" s="155"/>
      <c r="Y23" s="155"/>
      <c r="Z23" s="155"/>
      <c r="AA23" s="155"/>
      <c r="AB23" s="155"/>
      <c r="AC23" s="141">
        <f t="shared" si="0"/>
        <v>0</v>
      </c>
      <c r="AD23" s="142">
        <v>0</v>
      </c>
      <c r="AE23" s="100" t="s">
        <v>231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5"/>
      <c r="AY23" s="155"/>
      <c r="AZ23" s="155"/>
      <c r="BA23" s="155"/>
      <c r="BB23" s="155"/>
      <c r="BC23" s="138">
        <f t="shared" si="1"/>
        <v>0</v>
      </c>
      <c r="BD23" s="158">
        <v>0</v>
      </c>
      <c r="BE23" s="100" t="s">
        <v>231</v>
      </c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46">
        <f t="shared" si="25"/>
        <v>0</v>
      </c>
      <c r="CG23" s="147">
        <v>0</v>
      </c>
      <c r="CH23" s="146">
        <f t="shared" si="28"/>
        <v>0</v>
      </c>
      <c r="CI23" s="145">
        <v>0</v>
      </c>
      <c r="CJ23" s="108" t="s">
        <v>231</v>
      </c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41">
        <f t="shared" si="3"/>
        <v>0</v>
      </c>
      <c r="DF23" s="152">
        <v>0</v>
      </c>
      <c r="DG23" s="108" t="s">
        <v>231</v>
      </c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41">
        <f>SUM(DH23:EE23)</f>
        <v>0</v>
      </c>
      <c r="EG23" s="147">
        <v>0</v>
      </c>
      <c r="EH23" s="141">
        <f t="shared" si="4"/>
        <v>0</v>
      </c>
      <c r="EI23" s="142">
        <f t="shared" si="4"/>
        <v>0</v>
      </c>
      <c r="EJ23" s="150"/>
      <c r="EK23" s="155"/>
      <c r="EL23" s="155"/>
      <c r="EM23" s="155"/>
      <c r="EN23" s="155"/>
      <c r="EO23" s="155"/>
      <c r="EP23" s="155"/>
      <c r="EQ23" s="150"/>
      <c r="ER23" s="150"/>
      <c r="ES23" s="150"/>
      <c r="ET23" s="150"/>
      <c r="EU23" s="155"/>
      <c r="EV23" s="155"/>
      <c r="EW23" s="155"/>
      <c r="EX23" s="155"/>
      <c r="EY23" s="155"/>
      <c r="EZ23" s="155"/>
      <c r="FA23" s="150"/>
      <c r="FB23" s="150"/>
      <c r="FC23" s="150"/>
      <c r="FD23" s="150"/>
      <c r="FE23" s="155"/>
      <c r="FF23" s="155"/>
      <c r="FG23" s="150"/>
      <c r="FH23" s="150"/>
      <c r="FI23" s="150"/>
      <c r="FJ23" s="150"/>
      <c r="FK23" s="141">
        <f t="shared" si="5"/>
        <v>0</v>
      </c>
      <c r="FL23" s="147">
        <v>0</v>
      </c>
      <c r="FM23" s="100" t="s">
        <v>231</v>
      </c>
      <c r="FN23" s="141">
        <f t="shared" si="6"/>
        <v>0</v>
      </c>
      <c r="FO23" s="142">
        <f t="shared" si="7"/>
        <v>0</v>
      </c>
      <c r="FP23" s="138">
        <f t="shared" si="8"/>
        <v>0</v>
      </c>
      <c r="FQ23" s="145">
        <f t="shared" si="9"/>
        <v>0</v>
      </c>
      <c r="FR23" s="146">
        <f t="shared" si="10"/>
        <v>0</v>
      </c>
      <c r="FS23" s="147">
        <f t="shared" si="11"/>
        <v>0</v>
      </c>
      <c r="FT23" s="146">
        <f t="shared" si="12"/>
        <v>0</v>
      </c>
      <c r="FU23" s="145">
        <f t="shared" si="13"/>
        <v>0</v>
      </c>
      <c r="FV23" s="141">
        <f t="shared" si="14"/>
        <v>0</v>
      </c>
      <c r="FW23" s="142">
        <f t="shared" si="15"/>
        <v>0</v>
      </c>
      <c r="FX23" s="141">
        <f t="shared" si="16"/>
        <v>0</v>
      </c>
      <c r="FY23" s="142">
        <f t="shared" si="17"/>
        <v>0</v>
      </c>
      <c r="FZ23" s="141">
        <f t="shared" si="18"/>
        <v>0</v>
      </c>
      <c r="GA23" s="142">
        <f t="shared" si="19"/>
        <v>0</v>
      </c>
      <c r="GB23" s="141">
        <f t="shared" si="20"/>
        <v>0</v>
      </c>
      <c r="GC23" s="142">
        <f t="shared" si="21"/>
        <v>0</v>
      </c>
      <c r="GD23" s="181">
        <f t="shared" si="22"/>
        <v>0</v>
      </c>
      <c r="GE23" s="182">
        <f t="shared" si="23"/>
        <v>0</v>
      </c>
      <c r="GG23" s="168">
        <f t="shared" si="24"/>
        <v>0</v>
      </c>
      <c r="GH23" s="184">
        <f t="shared" si="26"/>
        <v>0</v>
      </c>
      <c r="GJ23" s="292">
        <f t="shared" si="27"/>
        <v>0</v>
      </c>
    </row>
    <row r="24" spans="1:192" ht="12.75">
      <c r="A24" s="100" t="s">
        <v>136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8"/>
      <c r="U24" s="148"/>
      <c r="V24" s="148"/>
      <c r="W24" s="148"/>
      <c r="X24" s="148"/>
      <c r="Y24" s="148"/>
      <c r="Z24" s="148"/>
      <c r="AA24" s="148"/>
      <c r="AB24" s="148"/>
      <c r="AC24" s="141">
        <f t="shared" si="0"/>
        <v>0</v>
      </c>
      <c r="AD24" s="142">
        <v>0</v>
      </c>
      <c r="AE24" s="100" t="s">
        <v>136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8"/>
      <c r="AY24" s="148"/>
      <c r="AZ24" s="148"/>
      <c r="BA24" s="148"/>
      <c r="BB24" s="148"/>
      <c r="BC24" s="138">
        <f t="shared" si="1"/>
        <v>0</v>
      </c>
      <c r="BD24" s="158">
        <v>0</v>
      </c>
      <c r="BE24" s="100" t="s">
        <v>136</v>
      </c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09">
        <f>IF(AND(BU2&lt;&gt;0,BU2*0.022&gt;=0.5),4+(BU2*0.022),4.5)</f>
        <v>4.5</v>
      </c>
      <c r="BU24" s="334" t="s">
        <v>311</v>
      </c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6">
        <f t="shared" si="25"/>
        <v>4.5</v>
      </c>
      <c r="CG24" s="147">
        <v>4</v>
      </c>
      <c r="CH24" s="146">
        <f t="shared" si="28"/>
        <v>4.5</v>
      </c>
      <c r="CI24" s="145">
        <v>0</v>
      </c>
      <c r="CJ24" s="108" t="s">
        <v>136</v>
      </c>
      <c r="CK24" s="144"/>
      <c r="CL24" s="148"/>
      <c r="CM24" s="144"/>
      <c r="CN24" s="148"/>
      <c r="CO24" s="144"/>
      <c r="CP24" s="148"/>
      <c r="CQ24" s="144"/>
      <c r="CR24" s="148"/>
      <c r="CS24" s="144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1">
        <f t="shared" si="3"/>
        <v>0</v>
      </c>
      <c r="DF24" s="152">
        <v>0</v>
      </c>
      <c r="DG24" s="108" t="s">
        <v>136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1">
        <f>SUM(DH24:EE24)</f>
        <v>0</v>
      </c>
      <c r="EG24" s="147">
        <v>0</v>
      </c>
      <c r="EH24" s="141">
        <f aca="true" t="shared" si="29" ref="EH24:EI42">SUM(DE24+EF24)</f>
        <v>0</v>
      </c>
      <c r="EI24" s="142">
        <f>SUM(DF24+EG24)</f>
        <v>0</v>
      </c>
      <c r="EJ24" s="108" t="s">
        <v>136</v>
      </c>
      <c r="EK24" s="148"/>
      <c r="EL24" s="148"/>
      <c r="EM24" s="148"/>
      <c r="EN24" s="148"/>
      <c r="EO24" s="148"/>
      <c r="EP24" s="148"/>
      <c r="EQ24" s="140"/>
      <c r="ER24" s="140"/>
      <c r="ES24" s="140"/>
      <c r="ET24" s="140"/>
      <c r="EU24" s="148"/>
      <c r="EV24" s="148"/>
      <c r="EW24" s="148"/>
      <c r="EX24" s="148"/>
      <c r="EY24" s="148"/>
      <c r="EZ24" s="148"/>
      <c r="FA24" s="140"/>
      <c r="FB24" s="140"/>
      <c r="FC24" s="140"/>
      <c r="FD24" s="140"/>
      <c r="FE24" s="148"/>
      <c r="FF24" s="148"/>
      <c r="FG24" s="140"/>
      <c r="FH24" s="140"/>
      <c r="FI24" s="140"/>
      <c r="FJ24" s="140"/>
      <c r="FK24" s="141">
        <f t="shared" si="5"/>
        <v>0</v>
      </c>
      <c r="FL24" s="147">
        <v>0</v>
      </c>
      <c r="FM24" s="100" t="s">
        <v>136</v>
      </c>
      <c r="FN24" s="141">
        <f t="shared" si="6"/>
        <v>0</v>
      </c>
      <c r="FO24" s="142">
        <f t="shared" si="7"/>
        <v>0</v>
      </c>
      <c r="FP24" s="138">
        <f t="shared" si="8"/>
        <v>0</v>
      </c>
      <c r="FQ24" s="145">
        <f t="shared" si="9"/>
        <v>0</v>
      </c>
      <c r="FR24" s="146">
        <f t="shared" si="10"/>
        <v>4.5</v>
      </c>
      <c r="FS24" s="147">
        <f t="shared" si="11"/>
        <v>4</v>
      </c>
      <c r="FT24" s="146">
        <f t="shared" si="12"/>
        <v>4.5</v>
      </c>
      <c r="FU24" s="145">
        <f t="shared" si="13"/>
        <v>0</v>
      </c>
      <c r="FV24" s="141">
        <f t="shared" si="14"/>
        <v>0</v>
      </c>
      <c r="FW24" s="142">
        <f t="shared" si="15"/>
        <v>0</v>
      </c>
      <c r="FX24" s="141">
        <f t="shared" si="16"/>
        <v>0</v>
      </c>
      <c r="FY24" s="142">
        <f t="shared" si="17"/>
        <v>0</v>
      </c>
      <c r="FZ24" s="141">
        <f t="shared" si="18"/>
        <v>0</v>
      </c>
      <c r="GA24" s="142">
        <f t="shared" si="19"/>
        <v>0</v>
      </c>
      <c r="GB24" s="141">
        <f t="shared" si="20"/>
        <v>4.5</v>
      </c>
      <c r="GC24" s="142">
        <f t="shared" si="21"/>
        <v>0</v>
      </c>
      <c r="GD24" s="181">
        <f t="shared" si="22"/>
        <v>0</v>
      </c>
      <c r="GE24" s="182">
        <f t="shared" si="23"/>
        <v>0</v>
      </c>
      <c r="GG24" s="168">
        <f t="shared" si="24"/>
        <v>4.5</v>
      </c>
      <c r="GH24" s="184">
        <f t="shared" si="26"/>
        <v>0</v>
      </c>
      <c r="GI24" s="292">
        <f>'[1]lær-tímar'!S86</f>
        <v>4.5</v>
      </c>
      <c r="GJ24" s="292">
        <f t="shared" si="27"/>
        <v>0</v>
      </c>
    </row>
    <row r="25" spans="1:192" ht="12.75">
      <c r="A25" s="100" t="s">
        <v>137</v>
      </c>
      <c r="B25" s="109">
        <f>IF(AND(B3&lt;&gt;0,B3*0.022&gt;=0.5),3.5+(B3*0.022),4)</f>
        <v>4</v>
      </c>
      <c r="C25" s="361" t="s">
        <v>289</v>
      </c>
      <c r="D25" s="109">
        <f>IF(AND(D3&lt;&gt;0,D3*0.022&gt;=0.5),3.5+(D3*0.022),4)</f>
        <v>4</v>
      </c>
      <c r="E25" s="143" t="s">
        <v>107</v>
      </c>
      <c r="F25" s="109">
        <f>IF(AND(F3&lt;&gt;0,F3*0.022&gt;=0.5),3.5+(F3*0.022),4)</f>
        <v>4</v>
      </c>
      <c r="G25" s="143" t="s">
        <v>102</v>
      </c>
      <c r="H25" s="109"/>
      <c r="I25" s="375" t="s">
        <v>304</v>
      </c>
      <c r="J25" s="347"/>
      <c r="K25" s="437"/>
      <c r="L25" s="109">
        <f>IF(AND(L3&lt;&gt;0,L3*0.022&gt;=0.5),3.5+(L3*0.022),4)</f>
        <v>4.0280000000000005</v>
      </c>
      <c r="M25" s="330" t="s">
        <v>304</v>
      </c>
      <c r="N25" s="109">
        <f>IF(AND(N3&lt;&gt;0,N3*0.022&gt;=0.5),3.5+(N3*0.022),4)</f>
        <v>4.0280000000000005</v>
      </c>
      <c r="O25" s="143" t="s">
        <v>102</v>
      </c>
      <c r="P25" s="109">
        <f>IF(AND(P3&lt;&gt;0,P3*0.022&gt;=0.5),3.5+(P3*0.022),4)</f>
        <v>4.0280000000000005</v>
      </c>
      <c r="Q25" s="143" t="s">
        <v>107</v>
      </c>
      <c r="R25" s="109">
        <f>IF(AND(R3&lt;&gt;0,R3*0.022&gt;=0.5),3.5+(R3*0.022),4)</f>
        <v>4.0280000000000005</v>
      </c>
      <c r="S25" s="330" t="s">
        <v>304</v>
      </c>
      <c r="T25" s="155"/>
      <c r="U25" s="155"/>
      <c r="V25" s="155"/>
      <c r="W25" s="155"/>
      <c r="X25" s="155"/>
      <c r="Y25" s="155"/>
      <c r="Z25" s="155"/>
      <c r="AA25" s="155"/>
      <c r="AB25" s="155"/>
      <c r="AC25" s="141">
        <f t="shared" si="0"/>
        <v>28.111999999999995</v>
      </c>
      <c r="AD25" s="142">
        <f>8*3</f>
        <v>24</v>
      </c>
      <c r="AE25" s="100" t="s">
        <v>137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5"/>
      <c r="AY25" s="155"/>
      <c r="AZ25" s="155"/>
      <c r="BA25" s="155"/>
      <c r="BB25" s="155"/>
      <c r="BC25" s="138">
        <f t="shared" si="1"/>
        <v>0</v>
      </c>
      <c r="BD25" s="158">
        <v>0</v>
      </c>
      <c r="BE25" s="100" t="s">
        <v>137</v>
      </c>
      <c r="BF25" s="155"/>
      <c r="BG25" s="155"/>
      <c r="BH25" s="155"/>
      <c r="BI25" s="155"/>
      <c r="BJ25" s="155"/>
      <c r="BK25" s="155"/>
      <c r="BL25" s="109">
        <f>IF(AND(BM2&lt;&gt;0,BM2*0.1&gt;=0.5),6+(BM2*0.1),6.5)</f>
        <v>8</v>
      </c>
      <c r="BM25" s="112" t="s">
        <v>102</v>
      </c>
      <c r="BN25" s="109">
        <f>IF(AND(BM3&lt;&gt;0,BM3*0.1&gt;=0.5),6+(BM3*0.1),6.5)</f>
        <v>8</v>
      </c>
      <c r="BO25" s="112" t="s">
        <v>101</v>
      </c>
      <c r="BP25" s="155"/>
      <c r="BQ25" s="155"/>
      <c r="BR25" s="155"/>
      <c r="BS25" s="155"/>
      <c r="BT25" s="155"/>
      <c r="BU25" s="155"/>
      <c r="BV25" s="155"/>
      <c r="BW25" s="155"/>
      <c r="BX25" s="109">
        <f>IF(AND(BY3&lt;&gt;0,BY3*0.067&gt;=0.5),5+(BY3*0.067),5.5)</f>
        <v>5.536</v>
      </c>
      <c r="BY25" s="112" t="s">
        <v>289</v>
      </c>
      <c r="BZ25" s="155"/>
      <c r="CA25" s="155"/>
      <c r="CB25" s="155"/>
      <c r="CC25" s="155"/>
      <c r="CD25" s="155"/>
      <c r="CE25" s="155"/>
      <c r="CF25" s="146">
        <f t="shared" si="25"/>
        <v>21.536</v>
      </c>
      <c r="CG25" s="145">
        <f>5+4</f>
        <v>9</v>
      </c>
      <c r="CH25" s="146">
        <f t="shared" si="28"/>
        <v>21.536</v>
      </c>
      <c r="CI25" s="145">
        <f t="shared" si="28"/>
        <v>9</v>
      </c>
      <c r="CJ25" s="108" t="s">
        <v>137</v>
      </c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41">
        <f t="shared" si="3"/>
        <v>0</v>
      </c>
      <c r="DF25" s="152">
        <v>0</v>
      </c>
      <c r="DG25" s="108" t="s">
        <v>137</v>
      </c>
      <c r="DH25" s="155"/>
      <c r="DI25" s="155"/>
      <c r="DJ25" s="155"/>
      <c r="DK25" s="155"/>
      <c r="DL25" s="155"/>
      <c r="DM25" s="155"/>
      <c r="DN25" s="155"/>
      <c r="DO25" s="155"/>
      <c r="DP25" s="109">
        <f>IF(AND(DQ2&lt;&gt;0,DQ2*0.134&gt;=0.5),6+(DQ2*0.134),6.5)</f>
        <v>8.411999999999999</v>
      </c>
      <c r="DQ25" s="188" t="s">
        <v>107</v>
      </c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41">
        <f>SUM(DH25:EE25)</f>
        <v>8.411999999999999</v>
      </c>
      <c r="EG25" s="145">
        <v>5</v>
      </c>
      <c r="EH25" s="141">
        <f t="shared" si="29"/>
        <v>8.411999999999999</v>
      </c>
      <c r="EI25" s="142">
        <f>SUM(DF25+EG25)</f>
        <v>5</v>
      </c>
      <c r="EJ25" s="108" t="s">
        <v>137</v>
      </c>
      <c r="EK25" s="155"/>
      <c r="EL25" s="155"/>
      <c r="EM25" s="155"/>
      <c r="EN25" s="155"/>
      <c r="EO25" s="109">
        <f>IF(AND(EL2&lt;&gt;0,EL2*0.033&gt;=0.5),3.5+(EL2*0.033),4)</f>
        <v>4</v>
      </c>
      <c r="EP25" s="112" t="s">
        <v>102</v>
      </c>
      <c r="EQ25" s="109">
        <f>IF(AND(EN2&lt;&gt;0,EN2*0.033&gt;=0.5),3.5+(EN2*0.033),4)</f>
        <v>4</v>
      </c>
      <c r="ER25" s="112" t="s">
        <v>107</v>
      </c>
      <c r="ES25" s="109"/>
      <c r="ET25" s="112"/>
      <c r="EU25" s="155"/>
      <c r="EV25" s="155"/>
      <c r="EW25" s="155"/>
      <c r="EX25" s="155"/>
      <c r="EY25" s="155"/>
      <c r="EZ25" s="155"/>
      <c r="FA25" s="155"/>
      <c r="FB25" s="155"/>
      <c r="FC25" s="150"/>
      <c r="FD25" s="150"/>
      <c r="FE25" s="155"/>
      <c r="FF25" s="155"/>
      <c r="FG25" s="155"/>
      <c r="FH25" s="155"/>
      <c r="FI25" s="155"/>
      <c r="FJ25" s="155"/>
      <c r="FK25" s="141">
        <f>SUM(EO25:FJ25)</f>
        <v>8</v>
      </c>
      <c r="FL25" s="145">
        <f>2*3</f>
        <v>6</v>
      </c>
      <c r="FM25" s="100" t="s">
        <v>137</v>
      </c>
      <c r="FN25" s="141">
        <f t="shared" si="6"/>
        <v>28.111999999999995</v>
      </c>
      <c r="FO25" s="142">
        <f>$AD25</f>
        <v>24</v>
      </c>
      <c r="FP25" s="138">
        <f t="shared" si="8"/>
        <v>0</v>
      </c>
      <c r="FQ25" s="145">
        <f t="shared" si="9"/>
        <v>0</v>
      </c>
      <c r="FR25" s="146">
        <f t="shared" si="10"/>
        <v>21.536</v>
      </c>
      <c r="FS25" s="147">
        <f t="shared" si="11"/>
        <v>9</v>
      </c>
      <c r="FT25" s="146">
        <f t="shared" si="12"/>
        <v>21.536</v>
      </c>
      <c r="FU25" s="145">
        <f t="shared" si="13"/>
        <v>9</v>
      </c>
      <c r="FV25" s="141">
        <f t="shared" si="14"/>
        <v>0</v>
      </c>
      <c r="FW25" s="142">
        <f t="shared" si="15"/>
        <v>0</v>
      </c>
      <c r="FX25" s="141">
        <f t="shared" si="16"/>
        <v>8.411999999999999</v>
      </c>
      <c r="FY25" s="142">
        <f t="shared" si="17"/>
        <v>5</v>
      </c>
      <c r="FZ25" s="141">
        <f t="shared" si="18"/>
        <v>8.411999999999999</v>
      </c>
      <c r="GA25" s="142">
        <f t="shared" si="19"/>
        <v>5</v>
      </c>
      <c r="GB25" s="141">
        <f t="shared" si="20"/>
        <v>58.059999999999995</v>
      </c>
      <c r="GC25" s="142">
        <f t="shared" si="21"/>
        <v>38</v>
      </c>
      <c r="GD25" s="181">
        <f t="shared" si="22"/>
        <v>8</v>
      </c>
      <c r="GE25" s="182">
        <f t="shared" si="23"/>
        <v>6</v>
      </c>
      <c r="GG25" s="168">
        <f t="shared" si="24"/>
        <v>66.06</v>
      </c>
      <c r="GH25" s="184">
        <f t="shared" si="26"/>
        <v>44</v>
      </c>
      <c r="GI25" s="292">
        <f>'[1]lær-tímar'!T86</f>
        <v>66.06</v>
      </c>
      <c r="GJ25" s="292">
        <f t="shared" si="27"/>
        <v>0</v>
      </c>
    </row>
    <row r="26" spans="1:192" ht="12.75">
      <c r="A26" s="100" t="s">
        <v>243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41">
        <f t="shared" si="0"/>
        <v>0</v>
      </c>
      <c r="AD26" s="142">
        <v>0</v>
      </c>
      <c r="AE26" s="100" t="s">
        <v>243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5"/>
      <c r="AY26" s="155"/>
      <c r="AZ26" s="155"/>
      <c r="BA26" s="155"/>
      <c r="BB26" s="155"/>
      <c r="BC26" s="138">
        <f>SUM(AF26:BB26)</f>
        <v>0</v>
      </c>
      <c r="BD26" s="158">
        <v>0</v>
      </c>
      <c r="BE26" s="100" t="s">
        <v>243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46">
        <f t="shared" si="25"/>
        <v>0</v>
      </c>
      <c r="CG26" s="145">
        <v>0</v>
      </c>
      <c r="CH26" s="146">
        <f t="shared" si="28"/>
        <v>0</v>
      </c>
      <c r="CI26" s="145">
        <f t="shared" si="28"/>
        <v>0</v>
      </c>
      <c r="CJ26" s="108" t="s">
        <v>243</v>
      </c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41">
        <f>SUM(CK26:DD26)</f>
        <v>0</v>
      </c>
      <c r="DF26" s="152">
        <v>0</v>
      </c>
      <c r="DG26" s="108" t="s">
        <v>243</v>
      </c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41">
        <f>SUM(DH26:EE26)</f>
        <v>0</v>
      </c>
      <c r="EG26" s="145">
        <v>0</v>
      </c>
      <c r="EH26" s="141">
        <f t="shared" si="29"/>
        <v>0</v>
      </c>
      <c r="EI26" s="142">
        <v>4</v>
      </c>
      <c r="EJ26" s="108" t="s">
        <v>243</v>
      </c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41">
        <f t="shared" si="5"/>
        <v>0</v>
      </c>
      <c r="FL26" s="145">
        <v>0</v>
      </c>
      <c r="FM26" s="100" t="s">
        <v>243</v>
      </c>
      <c r="FN26" s="141">
        <f t="shared" si="6"/>
        <v>0</v>
      </c>
      <c r="FO26" s="142">
        <f t="shared" si="7"/>
        <v>0</v>
      </c>
      <c r="FP26" s="138">
        <f t="shared" si="8"/>
        <v>0</v>
      </c>
      <c r="FQ26" s="145">
        <f t="shared" si="9"/>
        <v>0</v>
      </c>
      <c r="FR26" s="146">
        <f t="shared" si="10"/>
        <v>0</v>
      </c>
      <c r="FS26" s="147">
        <f t="shared" si="11"/>
        <v>0</v>
      </c>
      <c r="FT26" s="146">
        <f t="shared" si="12"/>
        <v>0</v>
      </c>
      <c r="FU26" s="145">
        <f t="shared" si="13"/>
        <v>0</v>
      </c>
      <c r="FV26" s="141">
        <f t="shared" si="14"/>
        <v>0</v>
      </c>
      <c r="FW26" s="142">
        <f t="shared" si="15"/>
        <v>0</v>
      </c>
      <c r="FX26" s="141">
        <f t="shared" si="16"/>
        <v>0</v>
      </c>
      <c r="FY26" s="142">
        <f t="shared" si="17"/>
        <v>0</v>
      </c>
      <c r="FZ26" s="141">
        <f t="shared" si="18"/>
        <v>0</v>
      </c>
      <c r="GA26" s="142">
        <f t="shared" si="19"/>
        <v>4</v>
      </c>
      <c r="GB26" s="141">
        <f t="shared" si="20"/>
        <v>0</v>
      </c>
      <c r="GC26" s="142">
        <f t="shared" si="21"/>
        <v>4</v>
      </c>
      <c r="GD26" s="181">
        <f t="shared" si="22"/>
        <v>0</v>
      </c>
      <c r="GE26" s="182">
        <f t="shared" si="23"/>
        <v>0</v>
      </c>
      <c r="GG26" s="168">
        <f t="shared" si="24"/>
        <v>0</v>
      </c>
      <c r="GH26" s="184">
        <f t="shared" si="26"/>
        <v>4</v>
      </c>
      <c r="GI26" s="292">
        <f>'[1]lær-tímar'!U86</f>
        <v>0</v>
      </c>
      <c r="GJ26" s="292">
        <f t="shared" si="27"/>
        <v>0</v>
      </c>
    </row>
    <row r="27" spans="1:192" ht="12.75">
      <c r="A27" s="100" t="s">
        <v>138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8"/>
      <c r="U27" s="148"/>
      <c r="V27" s="148"/>
      <c r="W27" s="148"/>
      <c r="X27" s="148"/>
      <c r="Y27" s="148"/>
      <c r="Z27" s="148"/>
      <c r="AA27" s="148"/>
      <c r="AB27" s="148"/>
      <c r="AC27" s="141">
        <f t="shared" si="0"/>
        <v>0</v>
      </c>
      <c r="AD27" s="142">
        <v>0</v>
      </c>
      <c r="AE27" s="100" t="s">
        <v>138</v>
      </c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8"/>
      <c r="AY27" s="148"/>
      <c r="AZ27" s="148"/>
      <c r="BA27" s="148"/>
      <c r="BB27" s="148"/>
      <c r="BC27" s="138">
        <f t="shared" si="1"/>
        <v>0</v>
      </c>
      <c r="BD27" s="158">
        <v>0</v>
      </c>
      <c r="BE27" s="100" t="s">
        <v>138</v>
      </c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4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6">
        <f t="shared" si="25"/>
        <v>0</v>
      </c>
      <c r="CG27" s="147">
        <v>0</v>
      </c>
      <c r="CH27" s="146">
        <f t="shared" si="28"/>
        <v>0</v>
      </c>
      <c r="CI27" s="145">
        <f t="shared" si="28"/>
        <v>0</v>
      </c>
      <c r="CJ27" s="100" t="s">
        <v>138</v>
      </c>
      <c r="CK27" s="109"/>
      <c r="CL27" s="112"/>
      <c r="CM27" s="109">
        <v>3</v>
      </c>
      <c r="CN27" s="112" t="s">
        <v>293</v>
      </c>
      <c r="CO27" s="109">
        <v>3</v>
      </c>
      <c r="CP27" s="112" t="s">
        <v>108</v>
      </c>
      <c r="CQ27" s="109">
        <v>3</v>
      </c>
      <c r="CR27" s="367" t="s">
        <v>108</v>
      </c>
      <c r="CS27" s="109"/>
      <c r="CT27" s="112"/>
      <c r="CU27" s="109">
        <v>3</v>
      </c>
      <c r="CV27" s="112" t="s">
        <v>251</v>
      </c>
      <c r="CW27" s="109">
        <v>3</v>
      </c>
      <c r="CX27" s="112" t="s">
        <v>108</v>
      </c>
      <c r="CY27" s="109">
        <v>3</v>
      </c>
      <c r="CZ27" s="367" t="s">
        <v>251</v>
      </c>
      <c r="DA27" s="148"/>
      <c r="DB27" s="148"/>
      <c r="DC27" s="148"/>
      <c r="DD27" s="148"/>
      <c r="DE27" s="141">
        <f t="shared" si="3"/>
        <v>18</v>
      </c>
      <c r="DF27" s="152">
        <f>8*3</f>
        <v>24</v>
      </c>
      <c r="DG27" s="100" t="s">
        <v>138</v>
      </c>
      <c r="DH27" s="148"/>
      <c r="DI27" s="148"/>
      <c r="DJ27" s="148"/>
      <c r="DK27" s="148"/>
      <c r="DL27" s="148"/>
      <c r="DM27" s="148"/>
      <c r="DN27" s="148"/>
      <c r="DO27" s="148"/>
      <c r="DP27" s="153"/>
      <c r="DQ27" s="154"/>
      <c r="DR27" s="153"/>
      <c r="DS27" s="154"/>
      <c r="DT27" s="154"/>
      <c r="DU27" s="154"/>
      <c r="DV27" s="154"/>
      <c r="DW27" s="154"/>
      <c r="DX27" s="154"/>
      <c r="DY27" s="154"/>
      <c r="DZ27" s="153"/>
      <c r="EA27" s="154"/>
      <c r="EB27" s="153"/>
      <c r="EC27" s="154"/>
      <c r="ED27" s="154"/>
      <c r="EE27" s="154"/>
      <c r="EF27" s="141">
        <f>SUM(DH27:EE27)</f>
        <v>0</v>
      </c>
      <c r="EG27" s="147">
        <v>0</v>
      </c>
      <c r="EH27" s="141">
        <f t="shared" si="29"/>
        <v>18</v>
      </c>
      <c r="EI27" s="142">
        <f t="shared" si="29"/>
        <v>24</v>
      </c>
      <c r="EJ27" s="100" t="s">
        <v>138</v>
      </c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13">
        <v>3</v>
      </c>
      <c r="EV27" s="160" t="s">
        <v>251</v>
      </c>
      <c r="EW27" s="113">
        <v>3</v>
      </c>
      <c r="EX27" s="160" t="s">
        <v>251</v>
      </c>
      <c r="EY27" s="113"/>
      <c r="EZ27" s="160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1">
        <f t="shared" si="5"/>
        <v>6</v>
      </c>
      <c r="FL27" s="147">
        <f>2*3</f>
        <v>6</v>
      </c>
      <c r="FM27" s="100" t="s">
        <v>138</v>
      </c>
      <c r="FN27" s="141">
        <f t="shared" si="6"/>
        <v>0</v>
      </c>
      <c r="FO27" s="142">
        <f t="shared" si="7"/>
        <v>0</v>
      </c>
      <c r="FP27" s="138">
        <f t="shared" si="8"/>
        <v>0</v>
      </c>
      <c r="FQ27" s="145">
        <f t="shared" si="9"/>
        <v>0</v>
      </c>
      <c r="FR27" s="146">
        <f t="shared" si="10"/>
        <v>0</v>
      </c>
      <c r="FS27" s="147">
        <f t="shared" si="11"/>
        <v>0</v>
      </c>
      <c r="FT27" s="146">
        <f t="shared" si="12"/>
        <v>0</v>
      </c>
      <c r="FU27" s="145">
        <f t="shared" si="13"/>
        <v>0</v>
      </c>
      <c r="FV27" s="141">
        <f t="shared" si="14"/>
        <v>18</v>
      </c>
      <c r="FW27" s="142">
        <f t="shared" si="15"/>
        <v>24</v>
      </c>
      <c r="FX27" s="141">
        <f t="shared" si="16"/>
        <v>0</v>
      </c>
      <c r="FY27" s="142">
        <f t="shared" si="17"/>
        <v>0</v>
      </c>
      <c r="FZ27" s="141">
        <f t="shared" si="18"/>
        <v>18</v>
      </c>
      <c r="GA27" s="142">
        <f t="shared" si="19"/>
        <v>24</v>
      </c>
      <c r="GB27" s="141">
        <f t="shared" si="20"/>
        <v>18</v>
      </c>
      <c r="GC27" s="142">
        <f t="shared" si="21"/>
        <v>24</v>
      </c>
      <c r="GD27" s="181">
        <f t="shared" si="22"/>
        <v>6</v>
      </c>
      <c r="GE27" s="182">
        <f t="shared" si="23"/>
        <v>6</v>
      </c>
      <c r="GG27" s="168">
        <f t="shared" si="24"/>
        <v>24</v>
      </c>
      <c r="GH27" s="184">
        <f t="shared" si="26"/>
        <v>30</v>
      </c>
      <c r="GI27" s="292">
        <f>'[1]lær-tímar'!V86</f>
        <v>24</v>
      </c>
      <c r="GJ27" s="292">
        <f t="shared" si="27"/>
        <v>0</v>
      </c>
    </row>
    <row r="28" spans="1:192" ht="12.75">
      <c r="A28" s="100" t="s">
        <v>139</v>
      </c>
      <c r="B28" s="151"/>
      <c r="C28" s="151"/>
      <c r="D28" s="151"/>
      <c r="E28" s="151"/>
      <c r="F28" s="109"/>
      <c r="G28" s="143"/>
      <c r="H28" s="151"/>
      <c r="I28" s="151"/>
      <c r="J28" s="151"/>
      <c r="K28" s="151"/>
      <c r="L28" s="109"/>
      <c r="M28" s="143"/>
      <c r="N28" s="151"/>
      <c r="O28" s="151"/>
      <c r="P28" s="151"/>
      <c r="Q28" s="151"/>
      <c r="R28" s="151"/>
      <c r="S28" s="151"/>
      <c r="T28" s="155"/>
      <c r="U28" s="155"/>
      <c r="V28" s="155"/>
      <c r="W28" s="155"/>
      <c r="X28" s="155"/>
      <c r="Y28" s="155"/>
      <c r="Z28" s="155"/>
      <c r="AA28" s="155"/>
      <c r="AB28" s="155"/>
      <c r="AC28" s="141">
        <f t="shared" si="0"/>
        <v>0</v>
      </c>
      <c r="AD28" s="142">
        <v>0</v>
      </c>
      <c r="AE28" s="100" t="s">
        <v>139</v>
      </c>
      <c r="AF28" s="151"/>
      <c r="AG28" s="151"/>
      <c r="AH28" s="151"/>
      <c r="AI28" s="151"/>
      <c r="AJ28" s="109">
        <f>IF(AND(AK2&lt;&gt;0,AK2*0.033&gt;=0.5),4+(AK2*0.033),4.5)</f>
        <v>4.5</v>
      </c>
      <c r="AK28" s="143" t="s">
        <v>232</v>
      </c>
      <c r="AL28" s="151"/>
      <c r="AM28" s="151"/>
      <c r="AN28" s="151"/>
      <c r="AO28" s="151"/>
      <c r="AP28" s="109"/>
      <c r="AQ28" s="143"/>
      <c r="AR28" s="151"/>
      <c r="AS28" s="151"/>
      <c r="AT28" s="151"/>
      <c r="AU28" s="151"/>
      <c r="AV28" s="155"/>
      <c r="AW28" s="155"/>
      <c r="AX28" s="155"/>
      <c r="AY28" s="155"/>
      <c r="AZ28" s="155"/>
      <c r="BA28" s="155"/>
      <c r="BB28" s="155"/>
      <c r="BC28" s="138">
        <f t="shared" si="1"/>
        <v>4.5</v>
      </c>
      <c r="BD28" s="158">
        <v>4</v>
      </c>
      <c r="BE28" s="100" t="s">
        <v>139</v>
      </c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325"/>
      <c r="BW28" s="155"/>
      <c r="BX28" s="155"/>
      <c r="BY28" s="155"/>
      <c r="BZ28" s="155"/>
      <c r="CA28" s="155"/>
      <c r="CB28" s="155"/>
      <c r="CC28" s="155"/>
      <c r="CD28" s="155"/>
      <c r="CE28" s="155"/>
      <c r="CF28" s="146">
        <f t="shared" si="25"/>
        <v>0</v>
      </c>
      <c r="CG28" s="147">
        <v>0</v>
      </c>
      <c r="CH28" s="146">
        <f t="shared" si="28"/>
        <v>4.5</v>
      </c>
      <c r="CI28" s="145">
        <f t="shared" si="28"/>
        <v>4</v>
      </c>
      <c r="CJ28" s="108" t="s">
        <v>139</v>
      </c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41">
        <f t="shared" si="3"/>
        <v>0</v>
      </c>
      <c r="DF28" s="152">
        <v>0</v>
      </c>
      <c r="DG28" s="108" t="s">
        <v>139</v>
      </c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09"/>
      <c r="DY28" s="188"/>
      <c r="DZ28" s="155"/>
      <c r="EA28" s="155"/>
      <c r="EB28" s="155"/>
      <c r="EC28" s="155"/>
      <c r="ED28" s="155"/>
      <c r="EE28" s="155"/>
      <c r="EF28" s="141">
        <f>SUM(DH28:EE28)</f>
        <v>0</v>
      </c>
      <c r="EG28" s="147">
        <v>0</v>
      </c>
      <c r="EH28" s="141">
        <f t="shared" si="29"/>
        <v>0</v>
      </c>
      <c r="EI28" s="142">
        <f t="shared" si="29"/>
        <v>0</v>
      </c>
      <c r="EJ28" s="108" t="s">
        <v>139</v>
      </c>
      <c r="EK28" s="155"/>
      <c r="EL28" s="155"/>
      <c r="EM28" s="155"/>
      <c r="EN28" s="155"/>
      <c r="EO28" s="109">
        <f>IF(AND(ET2&lt;&gt;0,ET2*0.022&gt;=0.5),4+(ET2*0.022),4.5)</f>
        <v>4.5</v>
      </c>
      <c r="EP28" s="160" t="s">
        <v>232</v>
      </c>
      <c r="EQ28" s="150"/>
      <c r="ER28" s="150"/>
      <c r="ES28" s="150"/>
      <c r="ET28" s="150"/>
      <c r="EU28" s="155"/>
      <c r="EV28" s="155"/>
      <c r="EW28" s="155"/>
      <c r="EX28" s="155"/>
      <c r="EY28" s="155"/>
      <c r="EZ28" s="155"/>
      <c r="FA28" s="113">
        <v>0</v>
      </c>
      <c r="FB28" s="160"/>
      <c r="FC28" s="150"/>
      <c r="FD28" s="150"/>
      <c r="FE28" s="150"/>
      <c r="FF28" s="150"/>
      <c r="FG28" s="150"/>
      <c r="FH28" s="150"/>
      <c r="FI28" s="150"/>
      <c r="FJ28" s="150"/>
      <c r="FK28" s="141">
        <f t="shared" si="5"/>
        <v>4.5</v>
      </c>
      <c r="FL28" s="147">
        <v>0</v>
      </c>
      <c r="FM28" s="100" t="s">
        <v>139</v>
      </c>
      <c r="FN28" s="141">
        <f t="shared" si="6"/>
        <v>0</v>
      </c>
      <c r="FO28" s="142">
        <f t="shared" si="7"/>
        <v>0</v>
      </c>
      <c r="FP28" s="138">
        <f t="shared" si="8"/>
        <v>4.5</v>
      </c>
      <c r="FQ28" s="145">
        <f t="shared" si="9"/>
        <v>4</v>
      </c>
      <c r="FR28" s="146">
        <f t="shared" si="10"/>
        <v>0</v>
      </c>
      <c r="FS28" s="147">
        <f t="shared" si="11"/>
        <v>0</v>
      </c>
      <c r="FT28" s="146">
        <f t="shared" si="12"/>
        <v>4.5</v>
      </c>
      <c r="FU28" s="145">
        <f t="shared" si="13"/>
        <v>4</v>
      </c>
      <c r="FV28" s="141">
        <f t="shared" si="14"/>
        <v>0</v>
      </c>
      <c r="FW28" s="142">
        <f t="shared" si="15"/>
        <v>0</v>
      </c>
      <c r="FX28" s="141">
        <f t="shared" si="16"/>
        <v>0</v>
      </c>
      <c r="FY28" s="142">
        <f t="shared" si="17"/>
        <v>0</v>
      </c>
      <c r="FZ28" s="141">
        <f t="shared" si="18"/>
        <v>0</v>
      </c>
      <c r="GA28" s="142">
        <f t="shared" si="19"/>
        <v>0</v>
      </c>
      <c r="GB28" s="141">
        <f t="shared" si="20"/>
        <v>4.5</v>
      </c>
      <c r="GC28" s="142">
        <f t="shared" si="21"/>
        <v>4</v>
      </c>
      <c r="GD28" s="181">
        <f t="shared" si="22"/>
        <v>4.5</v>
      </c>
      <c r="GE28" s="182">
        <f t="shared" si="23"/>
        <v>0</v>
      </c>
      <c r="GG28" s="168">
        <f t="shared" si="24"/>
        <v>9</v>
      </c>
      <c r="GH28" s="184">
        <f t="shared" si="26"/>
        <v>4</v>
      </c>
      <c r="GI28" s="292">
        <f>'[1]lær-tímar'!W86</f>
        <v>9</v>
      </c>
      <c r="GJ28" s="292">
        <f t="shared" si="27"/>
        <v>0</v>
      </c>
    </row>
    <row r="29" spans="1:192" ht="12.75">
      <c r="A29" s="100" t="s">
        <v>140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8"/>
      <c r="U29" s="148"/>
      <c r="V29" s="148"/>
      <c r="W29" s="148"/>
      <c r="X29" s="148"/>
      <c r="Y29" s="148"/>
      <c r="Z29" s="148"/>
      <c r="AA29" s="148"/>
      <c r="AB29" s="148"/>
      <c r="AC29" s="141">
        <f t="shared" si="0"/>
        <v>0</v>
      </c>
      <c r="AD29" s="142">
        <v>0</v>
      </c>
      <c r="AE29" s="100" t="s">
        <v>140</v>
      </c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8"/>
      <c r="AY29" s="148"/>
      <c r="AZ29" s="148"/>
      <c r="BA29" s="148"/>
      <c r="BB29" s="148"/>
      <c r="BC29" s="138">
        <f t="shared" si="1"/>
        <v>0</v>
      </c>
      <c r="BD29" s="158">
        <v>0</v>
      </c>
      <c r="BE29" s="100" t="s">
        <v>140</v>
      </c>
      <c r="BF29" s="148"/>
      <c r="BG29" s="148"/>
      <c r="BH29" s="148"/>
      <c r="BI29" s="148"/>
      <c r="BJ29" s="148"/>
      <c r="BK29" s="148"/>
      <c r="BL29" s="148"/>
      <c r="BM29" s="148"/>
      <c r="BN29" s="109">
        <v>4</v>
      </c>
      <c r="BO29" s="112" t="s">
        <v>119</v>
      </c>
      <c r="BP29" s="109">
        <v>4</v>
      </c>
      <c r="BQ29" s="112" t="s">
        <v>115</v>
      </c>
      <c r="BR29" s="43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6">
        <f t="shared" si="25"/>
        <v>8</v>
      </c>
      <c r="CG29" s="145">
        <f>4+4+4</f>
        <v>12</v>
      </c>
      <c r="CH29" s="146">
        <f t="shared" si="28"/>
        <v>8</v>
      </c>
      <c r="CI29" s="145">
        <f t="shared" si="28"/>
        <v>12</v>
      </c>
      <c r="CJ29" s="108" t="s">
        <v>140</v>
      </c>
      <c r="CK29" s="144"/>
      <c r="CL29" s="148"/>
      <c r="CM29" s="144"/>
      <c r="CN29" s="148"/>
      <c r="CO29" s="144"/>
      <c r="CP29" s="148"/>
      <c r="CQ29" s="144"/>
      <c r="CR29" s="148"/>
      <c r="CS29" s="144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1">
        <f t="shared" si="3"/>
        <v>0</v>
      </c>
      <c r="DF29" s="152">
        <v>0</v>
      </c>
      <c r="DG29" s="108" t="s">
        <v>140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1">
        <f>SUM(DH29:EE29)</f>
        <v>0</v>
      </c>
      <c r="EG29" s="147">
        <v>0</v>
      </c>
      <c r="EH29" s="141">
        <f t="shared" si="29"/>
        <v>0</v>
      </c>
      <c r="EI29" s="142">
        <f t="shared" si="29"/>
        <v>0</v>
      </c>
      <c r="EJ29" s="108" t="s">
        <v>140</v>
      </c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09">
        <v>4</v>
      </c>
      <c r="FH29" s="362" t="s">
        <v>115</v>
      </c>
      <c r="FI29" s="148"/>
      <c r="FJ29" s="148"/>
      <c r="FK29" s="141">
        <f t="shared" si="5"/>
        <v>4</v>
      </c>
      <c r="FL29" s="147">
        <v>4</v>
      </c>
      <c r="FM29" s="100" t="s">
        <v>140</v>
      </c>
      <c r="FN29" s="141">
        <f t="shared" si="6"/>
        <v>0</v>
      </c>
      <c r="FO29" s="142">
        <f t="shared" si="7"/>
        <v>0</v>
      </c>
      <c r="FP29" s="138">
        <f t="shared" si="8"/>
        <v>0</v>
      </c>
      <c r="FQ29" s="145">
        <f t="shared" si="9"/>
        <v>0</v>
      </c>
      <c r="FR29" s="146">
        <f t="shared" si="10"/>
        <v>8</v>
      </c>
      <c r="FS29" s="147">
        <f t="shared" si="11"/>
        <v>12</v>
      </c>
      <c r="FT29" s="146">
        <f t="shared" si="12"/>
        <v>8</v>
      </c>
      <c r="FU29" s="145">
        <f t="shared" si="13"/>
        <v>12</v>
      </c>
      <c r="FV29" s="141">
        <f t="shared" si="14"/>
        <v>0</v>
      </c>
      <c r="FW29" s="142">
        <f t="shared" si="15"/>
        <v>0</v>
      </c>
      <c r="FX29" s="141">
        <f t="shared" si="16"/>
        <v>0</v>
      </c>
      <c r="FY29" s="142">
        <f t="shared" si="17"/>
        <v>0</v>
      </c>
      <c r="FZ29" s="141">
        <f t="shared" si="18"/>
        <v>0</v>
      </c>
      <c r="GA29" s="142">
        <f t="shared" si="19"/>
        <v>0</v>
      </c>
      <c r="GB29" s="141">
        <f t="shared" si="20"/>
        <v>8</v>
      </c>
      <c r="GC29" s="142">
        <f t="shared" si="21"/>
        <v>12</v>
      </c>
      <c r="GD29" s="181">
        <f t="shared" si="22"/>
        <v>4</v>
      </c>
      <c r="GE29" s="182">
        <f t="shared" si="23"/>
        <v>4</v>
      </c>
      <c r="GG29" s="168">
        <f t="shared" si="24"/>
        <v>12</v>
      </c>
      <c r="GH29" s="184">
        <f t="shared" si="26"/>
        <v>16</v>
      </c>
      <c r="GI29" s="292">
        <f>'[1]lær-tímar'!X86</f>
        <v>12</v>
      </c>
      <c r="GJ29" s="292">
        <f t="shared" si="27"/>
        <v>0</v>
      </c>
    </row>
    <row r="30" spans="1:192" ht="12.75">
      <c r="A30" s="100" t="s">
        <v>233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5"/>
      <c r="U30" s="155"/>
      <c r="V30" s="155"/>
      <c r="W30" s="155"/>
      <c r="X30" s="155"/>
      <c r="Y30" s="155"/>
      <c r="Z30" s="155"/>
      <c r="AA30" s="155"/>
      <c r="AB30" s="155"/>
      <c r="AC30" s="141">
        <f t="shared" si="0"/>
        <v>0</v>
      </c>
      <c r="AD30" s="142">
        <v>0</v>
      </c>
      <c r="AE30" s="100" t="s">
        <v>233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5"/>
      <c r="AY30" s="155"/>
      <c r="AZ30" s="155"/>
      <c r="BA30" s="155"/>
      <c r="BB30" s="155"/>
      <c r="BC30" s="138">
        <f t="shared" si="1"/>
        <v>0</v>
      </c>
      <c r="BD30" s="158">
        <v>0</v>
      </c>
      <c r="BE30" s="100" t="s">
        <v>233</v>
      </c>
      <c r="BF30" s="155"/>
      <c r="BG30" s="155"/>
      <c r="BH30" s="155"/>
      <c r="BI30" s="155"/>
      <c r="BJ30" s="109">
        <f>IF(AND(BK2&lt;&gt;0,BK2*0.1&gt;=0.5),5+(BK2*0.1),5.5)</f>
        <v>6.8</v>
      </c>
      <c r="BK30" s="420" t="s">
        <v>290</v>
      </c>
      <c r="BL30" s="109">
        <f>IF(AND(BK3&lt;&gt;0,BK3*0.1&gt;=0.5),5+(BK3*0.1),5.5)</f>
        <v>6.8</v>
      </c>
      <c r="BM30" s="439" t="s">
        <v>266</v>
      </c>
      <c r="BN30" s="155"/>
      <c r="BO30" s="155"/>
      <c r="BP30" s="155"/>
      <c r="BQ30" s="155"/>
      <c r="BR30" s="417">
        <v>4</v>
      </c>
      <c r="BS30" s="440" t="s">
        <v>100</v>
      </c>
      <c r="BT30" s="441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46">
        <f>SUM(BF30:CE30)</f>
        <v>17.6</v>
      </c>
      <c r="CG30" s="145">
        <f>5+5+4+4</f>
        <v>18</v>
      </c>
      <c r="CH30" s="146">
        <f t="shared" si="28"/>
        <v>17.6</v>
      </c>
      <c r="CI30" s="145">
        <f t="shared" si="28"/>
        <v>18</v>
      </c>
      <c r="CJ30" s="108" t="s">
        <v>233</v>
      </c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41">
        <f t="shared" si="3"/>
        <v>0</v>
      </c>
      <c r="DF30" s="152">
        <v>0</v>
      </c>
      <c r="DG30" s="108" t="s">
        <v>233</v>
      </c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09">
        <f>IF(AND(DU3&lt;&gt;0,DU3*0.134&gt;=0.5),5+(DU3*0.134),5.5)</f>
        <v>7.01</v>
      </c>
      <c r="DU30" s="345" t="s">
        <v>100</v>
      </c>
      <c r="DV30" s="109">
        <f>IF(AND(DW2&lt;&gt;0,DW2*0.134&gt;=0.5),5+(DW2*0.134),5.5)</f>
        <v>6.876</v>
      </c>
      <c r="DW30" s="345" t="s">
        <v>303</v>
      </c>
      <c r="DX30" s="155"/>
      <c r="DY30" s="155"/>
      <c r="DZ30" s="155"/>
      <c r="EA30" s="155"/>
      <c r="EB30" s="155"/>
      <c r="EC30" s="155"/>
      <c r="ED30" s="155"/>
      <c r="EE30" s="155"/>
      <c r="EF30" s="141">
        <f>SUM(DH30:EE30)</f>
        <v>13.886</v>
      </c>
      <c r="EG30" s="145">
        <v>10</v>
      </c>
      <c r="EH30" s="141">
        <f t="shared" si="29"/>
        <v>13.886</v>
      </c>
      <c r="EI30" s="142">
        <f t="shared" si="29"/>
        <v>10</v>
      </c>
      <c r="EJ30" s="108" t="s">
        <v>233</v>
      </c>
      <c r="EK30" s="148"/>
      <c r="EL30" s="148"/>
      <c r="EM30" s="148"/>
      <c r="EN30" s="148"/>
      <c r="EO30" s="109">
        <v>3</v>
      </c>
      <c r="EP30" s="331" t="s">
        <v>97</v>
      </c>
      <c r="EQ30" s="109">
        <v>3</v>
      </c>
      <c r="ER30" s="367" t="s">
        <v>303</v>
      </c>
      <c r="ES30" s="109"/>
      <c r="ET30" s="331"/>
      <c r="EU30" s="155"/>
      <c r="EV30" s="155"/>
      <c r="EW30" s="155"/>
      <c r="EX30" s="155"/>
      <c r="EY30" s="155"/>
      <c r="EZ30" s="155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41">
        <f>SUM(EO30:FJ30)</f>
        <v>6</v>
      </c>
      <c r="FL30" s="145">
        <v>6</v>
      </c>
      <c r="FM30" s="100" t="s">
        <v>233</v>
      </c>
      <c r="FN30" s="141">
        <f t="shared" si="6"/>
        <v>0</v>
      </c>
      <c r="FO30" s="142">
        <f t="shared" si="7"/>
        <v>0</v>
      </c>
      <c r="FP30" s="138">
        <f t="shared" si="8"/>
        <v>0</v>
      </c>
      <c r="FQ30" s="145">
        <f t="shared" si="9"/>
        <v>0</v>
      </c>
      <c r="FR30" s="146">
        <f t="shared" si="10"/>
        <v>17.6</v>
      </c>
      <c r="FS30" s="147">
        <f t="shared" si="11"/>
        <v>18</v>
      </c>
      <c r="FT30" s="146">
        <f t="shared" si="12"/>
        <v>17.6</v>
      </c>
      <c r="FU30" s="145">
        <f t="shared" si="13"/>
        <v>18</v>
      </c>
      <c r="FV30" s="141">
        <f t="shared" si="14"/>
        <v>0</v>
      </c>
      <c r="FW30" s="142">
        <f t="shared" si="15"/>
        <v>0</v>
      </c>
      <c r="FX30" s="141">
        <f t="shared" si="16"/>
        <v>13.886</v>
      </c>
      <c r="FY30" s="142">
        <f t="shared" si="17"/>
        <v>10</v>
      </c>
      <c r="FZ30" s="141">
        <f t="shared" si="18"/>
        <v>13.886</v>
      </c>
      <c r="GA30" s="142">
        <f t="shared" si="19"/>
        <v>10</v>
      </c>
      <c r="GB30" s="141">
        <f t="shared" si="20"/>
        <v>31.486</v>
      </c>
      <c r="GC30" s="142">
        <f t="shared" si="21"/>
        <v>28</v>
      </c>
      <c r="GD30" s="181">
        <f t="shared" si="22"/>
        <v>6</v>
      </c>
      <c r="GE30" s="182">
        <f t="shared" si="23"/>
        <v>6</v>
      </c>
      <c r="GG30" s="168">
        <f t="shared" si="24"/>
        <v>37.486000000000004</v>
      </c>
      <c r="GH30" s="184">
        <f t="shared" si="26"/>
        <v>34</v>
      </c>
      <c r="GI30" s="292">
        <f>'[1]lær-tímar'!Y86</f>
        <v>37.486000000000004</v>
      </c>
      <c r="GJ30" s="292">
        <f t="shared" si="27"/>
        <v>0</v>
      </c>
    </row>
    <row r="31" spans="1:192" ht="12.75">
      <c r="A31" s="100" t="s">
        <v>142</v>
      </c>
      <c r="B31" s="109">
        <f>IF(AND(C2&lt;&gt;0,C2*0.022&gt;=0.5),4+(C2*0.022),4.5)</f>
        <v>4.5</v>
      </c>
      <c r="C31" s="297" t="s">
        <v>118</v>
      </c>
      <c r="D31" s="109">
        <f>IF(AND(E2&lt;&gt;0,E2*0.022&gt;=0.5),4+(E2*0.022),4.5)</f>
        <v>4.5</v>
      </c>
      <c r="E31" s="361" t="s">
        <v>288</v>
      </c>
      <c r="F31" s="148"/>
      <c r="G31" s="148"/>
      <c r="H31" s="442"/>
      <c r="I31" s="443" t="s">
        <v>264</v>
      </c>
      <c r="J31" s="353"/>
      <c r="K31" s="444"/>
      <c r="L31" s="109">
        <f>IF(AND(M2&lt;&gt;0,M2*0.022&gt;=0.5),4+(M2*0.022),4.5)</f>
        <v>4.5</v>
      </c>
      <c r="M31" s="143" t="s">
        <v>118</v>
      </c>
      <c r="N31" s="148"/>
      <c r="O31" s="148"/>
      <c r="P31" s="109">
        <f>IF(AND(Q2&lt;&gt;0,Q2*0.022&gt;=0.5),4+(Q2*0.022),4.5)</f>
        <v>4.5280000000000005</v>
      </c>
      <c r="Q31" s="367" t="s">
        <v>293</v>
      </c>
      <c r="R31" s="109">
        <f>IF(AND(G2&lt;&gt;0,G2*0.022&gt;=0.5),4+(G2*0.022),4.5)</f>
        <v>4.5</v>
      </c>
      <c r="S31" s="361" t="s">
        <v>117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1">
        <f t="shared" si="0"/>
        <v>22.528</v>
      </c>
      <c r="AD31" s="142">
        <f>6*4</f>
        <v>24</v>
      </c>
      <c r="AE31" s="100" t="s">
        <v>142</v>
      </c>
      <c r="AF31" s="109">
        <f>IF(AND(AF3&lt;&gt;0,AF3*0.033&gt;=0.5),4+(AF3*0.033),4.5)</f>
        <v>4.561</v>
      </c>
      <c r="AG31" s="361" t="s">
        <v>117</v>
      </c>
      <c r="AH31" s="109">
        <f>IF(AND(AH3&lt;&gt;0,AH3*0.033&gt;=0.5),4+(AH3*0.033),4.5)</f>
        <v>4.726</v>
      </c>
      <c r="AI31" s="367" t="s">
        <v>117</v>
      </c>
      <c r="AJ31" s="109"/>
      <c r="AK31" s="143"/>
      <c r="AL31" s="109">
        <f>IF(AND(AL3&lt;&gt;0,AL3*0.033&gt;=0.5),4+(AL3*0.033),4.5)</f>
        <v>4.693</v>
      </c>
      <c r="AM31" s="367" t="s">
        <v>118</v>
      </c>
      <c r="AN31" s="109"/>
      <c r="AO31" s="143"/>
      <c r="AP31" s="109">
        <f>IF(AND(AQ2&lt;&gt;0,AQ2*0.033&gt;=0.5),4+(AQ2*0.033),4.5)</f>
        <v>4.594</v>
      </c>
      <c r="AQ31" s="143" t="s">
        <v>118</v>
      </c>
      <c r="AR31" s="109"/>
      <c r="AS31" s="297"/>
      <c r="AT31" s="109">
        <f>IF(AND(AT3&lt;&gt;0,AT3*0.033&gt;=0.5),4+(AT3*0.033),4.5)</f>
        <v>4.627</v>
      </c>
      <c r="AU31" s="367" t="s">
        <v>117</v>
      </c>
      <c r="AV31" s="109">
        <f>IF(AND(AV3&lt;&gt;0,AV3*0.033&gt;=0.5),4+(AV3*0.033),4.5)</f>
        <v>4.693</v>
      </c>
      <c r="AW31" s="331" t="s">
        <v>264</v>
      </c>
      <c r="AX31" s="148"/>
      <c r="AY31" s="148"/>
      <c r="AZ31" s="148"/>
      <c r="BA31" s="148"/>
      <c r="BB31" s="148"/>
      <c r="BC31" s="138">
        <f t="shared" si="1"/>
        <v>27.894</v>
      </c>
      <c r="BD31" s="158">
        <f>5*4</f>
        <v>20</v>
      </c>
      <c r="BE31" s="100" t="s">
        <v>142</v>
      </c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6">
        <f t="shared" si="25"/>
        <v>0</v>
      </c>
      <c r="CG31" s="147">
        <v>0</v>
      </c>
      <c r="CH31" s="146">
        <f t="shared" si="28"/>
        <v>27.894</v>
      </c>
      <c r="CI31" s="145">
        <f t="shared" si="28"/>
        <v>20</v>
      </c>
      <c r="CJ31" s="108" t="s">
        <v>142</v>
      </c>
      <c r="CK31" s="144"/>
      <c r="CL31" s="148"/>
      <c r="CM31" s="144"/>
      <c r="CN31" s="148"/>
      <c r="CO31" s="144"/>
      <c r="CP31" s="148"/>
      <c r="CQ31" s="144"/>
      <c r="CR31" s="148"/>
      <c r="CS31" s="144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1">
        <f t="shared" si="3"/>
        <v>0</v>
      </c>
      <c r="DF31" s="152">
        <v>0</v>
      </c>
      <c r="DG31" s="108" t="s">
        <v>142</v>
      </c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09">
        <f>IF(AND(DW3&lt;&gt;0,DW3*0.134&gt;=0.5),5+(DW3*0.134),5.5)</f>
        <v>8.082</v>
      </c>
      <c r="DW31" s="188" t="s">
        <v>293</v>
      </c>
      <c r="DX31" s="148"/>
      <c r="DY31" s="148"/>
      <c r="DZ31" s="148"/>
      <c r="EA31" s="148"/>
      <c r="EB31" s="148"/>
      <c r="EC31" s="148"/>
      <c r="ED31" s="148"/>
      <c r="EE31" s="148"/>
      <c r="EF31" s="141">
        <f>SUM(DH31:EE31)</f>
        <v>8.082</v>
      </c>
      <c r="EG31" s="147">
        <v>5</v>
      </c>
      <c r="EH31" s="141">
        <f t="shared" si="29"/>
        <v>8.082</v>
      </c>
      <c r="EI31" s="142">
        <f t="shared" si="29"/>
        <v>5</v>
      </c>
      <c r="EJ31" s="108" t="s">
        <v>142</v>
      </c>
      <c r="EK31" s="148"/>
      <c r="EL31" s="148"/>
      <c r="EM31" s="148"/>
      <c r="EN31" s="148"/>
      <c r="EO31" s="109">
        <f>IF(AND(EP2&lt;&gt;0,EP2*0.028&gt;=0.5),4+(EP2*0.028),4.5)</f>
        <v>4.5600000000000005</v>
      </c>
      <c r="EP31" s="332" t="s">
        <v>117</v>
      </c>
      <c r="EQ31" s="109"/>
      <c r="ER31" s="332"/>
      <c r="ES31" s="140"/>
      <c r="ET31" s="140"/>
      <c r="EU31" s="148"/>
      <c r="EV31" s="148"/>
      <c r="EW31" s="148"/>
      <c r="EX31" s="148"/>
      <c r="EY31" s="148"/>
      <c r="EZ31" s="148"/>
      <c r="FA31" s="109">
        <f>IF(AND(FA3&lt;&gt;0,FA3*0.028&gt;=0.5),4+(FA3*0.028),4.5)</f>
        <v>4.504</v>
      </c>
      <c r="FB31" s="331" t="s">
        <v>264</v>
      </c>
      <c r="FC31" s="140"/>
      <c r="FD31" s="140"/>
      <c r="FE31" s="140"/>
      <c r="FF31" s="140"/>
      <c r="FG31" s="140"/>
      <c r="FH31" s="140"/>
      <c r="FI31" s="140"/>
      <c r="FJ31" s="140"/>
      <c r="FK31" s="141">
        <f t="shared" si="5"/>
        <v>9.064</v>
      </c>
      <c r="FL31" s="147">
        <f>4+4</f>
        <v>8</v>
      </c>
      <c r="FM31" s="100" t="s">
        <v>142</v>
      </c>
      <c r="FN31" s="141">
        <f t="shared" si="6"/>
        <v>22.528</v>
      </c>
      <c r="FO31" s="142">
        <f t="shared" si="7"/>
        <v>24</v>
      </c>
      <c r="FP31" s="138">
        <f t="shared" si="8"/>
        <v>27.894</v>
      </c>
      <c r="FQ31" s="145">
        <f t="shared" si="9"/>
        <v>20</v>
      </c>
      <c r="FR31" s="146">
        <f t="shared" si="10"/>
        <v>0</v>
      </c>
      <c r="FS31" s="147">
        <f t="shared" si="11"/>
        <v>0</v>
      </c>
      <c r="FT31" s="146">
        <f t="shared" si="12"/>
        <v>27.894</v>
      </c>
      <c r="FU31" s="145">
        <f t="shared" si="13"/>
        <v>20</v>
      </c>
      <c r="FV31" s="141">
        <f t="shared" si="14"/>
        <v>0</v>
      </c>
      <c r="FW31" s="142">
        <f t="shared" si="15"/>
        <v>0</v>
      </c>
      <c r="FX31" s="141">
        <f t="shared" si="16"/>
        <v>8.082</v>
      </c>
      <c r="FY31" s="142">
        <f t="shared" si="17"/>
        <v>5</v>
      </c>
      <c r="FZ31" s="141">
        <f t="shared" si="18"/>
        <v>8.082</v>
      </c>
      <c r="GA31" s="142">
        <f t="shared" si="19"/>
        <v>5</v>
      </c>
      <c r="GB31" s="141">
        <f t="shared" si="20"/>
        <v>58.504</v>
      </c>
      <c r="GC31" s="142">
        <f t="shared" si="21"/>
        <v>49</v>
      </c>
      <c r="GD31" s="181">
        <f t="shared" si="22"/>
        <v>9.064</v>
      </c>
      <c r="GE31" s="182">
        <f t="shared" si="23"/>
        <v>8</v>
      </c>
      <c r="GG31" s="168">
        <f t="shared" si="24"/>
        <v>67.568</v>
      </c>
      <c r="GH31" s="184">
        <f t="shared" si="26"/>
        <v>57</v>
      </c>
      <c r="GI31" s="292">
        <f>'[1]lær-tímar'!Z86</f>
        <v>67.56800000000001</v>
      </c>
      <c r="GJ31" s="292">
        <f t="shared" si="27"/>
        <v>0</v>
      </c>
    </row>
    <row r="32" spans="1:192" ht="12.75">
      <c r="A32" s="100" t="s">
        <v>272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1">
        <f>SUM(B32:AB32)</f>
        <v>0</v>
      </c>
      <c r="AD32" s="142">
        <v>0</v>
      </c>
      <c r="AE32" s="100" t="s">
        <v>272</v>
      </c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38">
        <f>SUM(AF32:BB32)</f>
        <v>0</v>
      </c>
      <c r="BD32" s="158">
        <v>0</v>
      </c>
      <c r="BE32" s="100" t="s">
        <v>272</v>
      </c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6">
        <f t="shared" si="25"/>
        <v>0</v>
      </c>
      <c r="CG32" s="147">
        <v>0</v>
      </c>
      <c r="CH32" s="146">
        <f t="shared" si="28"/>
        <v>0</v>
      </c>
      <c r="CI32" s="145">
        <f t="shared" si="28"/>
        <v>0</v>
      </c>
      <c r="CJ32" s="108" t="s">
        <v>272</v>
      </c>
      <c r="CK32" s="144"/>
      <c r="CL32" s="148"/>
      <c r="CM32" s="144"/>
      <c r="CN32" s="148"/>
      <c r="CO32" s="144"/>
      <c r="CP32" s="148"/>
      <c r="CQ32" s="144"/>
      <c r="CR32" s="148"/>
      <c r="CS32" s="144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1">
        <f>SUM(CK32:DD32)</f>
        <v>0</v>
      </c>
      <c r="DF32" s="152">
        <v>0</v>
      </c>
      <c r="DG32" s="108" t="s">
        <v>272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1">
        <f>SUM(DH32:EE32)</f>
        <v>0</v>
      </c>
      <c r="EG32" s="147">
        <v>0</v>
      </c>
      <c r="EH32" s="141">
        <f t="shared" si="29"/>
        <v>0</v>
      </c>
      <c r="EI32" s="142">
        <f t="shared" si="29"/>
        <v>0</v>
      </c>
      <c r="EJ32" s="108" t="s">
        <v>272</v>
      </c>
      <c r="EK32" s="148"/>
      <c r="EL32" s="148"/>
      <c r="EM32" s="148"/>
      <c r="EN32" s="148"/>
      <c r="EO32" s="148"/>
      <c r="EP32" s="148"/>
      <c r="EQ32" s="140"/>
      <c r="ER32" s="140"/>
      <c r="ES32" s="140"/>
      <c r="ET32" s="140"/>
      <c r="EU32" s="148"/>
      <c r="EV32" s="148"/>
      <c r="EW32" s="148"/>
      <c r="EX32" s="148"/>
      <c r="EY32" s="148"/>
      <c r="EZ32" s="148"/>
      <c r="FA32" s="148"/>
      <c r="FB32" s="148"/>
      <c r="FC32" s="140"/>
      <c r="FD32" s="140"/>
      <c r="FE32" s="140"/>
      <c r="FF32" s="140"/>
      <c r="FG32" s="140"/>
      <c r="FH32" s="140"/>
      <c r="FI32" s="140"/>
      <c r="FJ32" s="140"/>
      <c r="FK32" s="141">
        <f t="shared" si="5"/>
        <v>0</v>
      </c>
      <c r="FL32" s="147">
        <v>0</v>
      </c>
      <c r="FM32" s="100" t="s">
        <v>272</v>
      </c>
      <c r="FN32" s="141">
        <f t="shared" si="6"/>
        <v>0</v>
      </c>
      <c r="FO32" s="142">
        <f t="shared" si="7"/>
        <v>0</v>
      </c>
      <c r="FP32" s="138">
        <f t="shared" si="8"/>
        <v>0</v>
      </c>
      <c r="FQ32" s="145">
        <f t="shared" si="9"/>
        <v>0</v>
      </c>
      <c r="FR32" s="146">
        <f t="shared" si="10"/>
        <v>0</v>
      </c>
      <c r="FS32" s="147">
        <f t="shared" si="11"/>
        <v>0</v>
      </c>
      <c r="FT32" s="146">
        <f t="shared" si="12"/>
        <v>0</v>
      </c>
      <c r="FU32" s="145">
        <f t="shared" si="13"/>
        <v>0</v>
      </c>
      <c r="FV32" s="141">
        <f t="shared" si="14"/>
        <v>0</v>
      </c>
      <c r="FW32" s="142">
        <f t="shared" si="15"/>
        <v>0</v>
      </c>
      <c r="FX32" s="141">
        <f t="shared" si="16"/>
        <v>0</v>
      </c>
      <c r="FY32" s="142">
        <f t="shared" si="17"/>
        <v>0</v>
      </c>
      <c r="FZ32" s="141">
        <f t="shared" si="18"/>
        <v>0</v>
      </c>
      <c r="GA32" s="142">
        <f t="shared" si="19"/>
        <v>0</v>
      </c>
      <c r="GB32" s="141">
        <f t="shared" si="20"/>
        <v>0</v>
      </c>
      <c r="GC32" s="142">
        <f>SUM(FO32+FU32+GA32)</f>
        <v>0</v>
      </c>
      <c r="GD32" s="181">
        <f t="shared" si="22"/>
        <v>0</v>
      </c>
      <c r="GE32" s="182">
        <f t="shared" si="23"/>
        <v>0</v>
      </c>
      <c r="GG32" s="168">
        <f t="shared" si="24"/>
        <v>0</v>
      </c>
      <c r="GH32" s="184">
        <f>SUM(GC32+GE32)</f>
        <v>0</v>
      </c>
      <c r="GI32" s="292">
        <f>'[1]lær-tímar'!AA86</f>
        <v>0</v>
      </c>
      <c r="GJ32" s="292">
        <f>GG32-GI32</f>
        <v>0</v>
      </c>
    </row>
    <row r="33" spans="1:192" ht="12.75">
      <c r="A33" s="100" t="s">
        <v>234</v>
      </c>
      <c r="B33" s="109">
        <f>IF(AND(B3&lt;&gt;0,B3*0.06&gt;=0.5),4+(B3*0.06),4.5)</f>
        <v>5.32</v>
      </c>
      <c r="C33" s="361" t="s">
        <v>279</v>
      </c>
      <c r="D33" s="371">
        <f>IF(AND(D3&lt;&gt;0,D3*0.06&gt;=0.5),4+(D3*0.06),4.5)</f>
        <v>5.26</v>
      </c>
      <c r="E33" s="331" t="s">
        <v>310</v>
      </c>
      <c r="F33" s="371">
        <f>IF(AND(F3&lt;&gt;0,F3*0.06&gt;=0.5),4+(F3*0.06),4.5)</f>
        <v>5.08</v>
      </c>
      <c r="G33" s="330" t="s">
        <v>312</v>
      </c>
      <c r="H33" s="445"/>
      <c r="I33" s="330" t="s">
        <v>312</v>
      </c>
      <c r="J33" s="372"/>
      <c r="K33" s="446"/>
      <c r="L33" s="151"/>
      <c r="M33" s="151"/>
      <c r="N33" s="151"/>
      <c r="O33" s="151"/>
      <c r="P33" s="151"/>
      <c r="Q33" s="151"/>
      <c r="R33" s="151"/>
      <c r="S33" s="151"/>
      <c r="T33" s="155"/>
      <c r="U33" s="155"/>
      <c r="V33" s="155"/>
      <c r="W33" s="155"/>
      <c r="X33" s="155"/>
      <c r="Y33" s="155"/>
      <c r="Z33" s="155"/>
      <c r="AA33" s="155"/>
      <c r="AB33" s="155"/>
      <c r="AC33" s="141">
        <f t="shared" si="0"/>
        <v>15.66</v>
      </c>
      <c r="AD33" s="142">
        <f>4*4</f>
        <v>16</v>
      </c>
      <c r="AE33" s="100" t="s">
        <v>234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5"/>
      <c r="AY33" s="155"/>
      <c r="AZ33" s="155"/>
      <c r="BA33" s="155"/>
      <c r="BB33" s="155"/>
      <c r="BC33" s="138">
        <f t="shared" si="1"/>
        <v>0</v>
      </c>
      <c r="BD33" s="158">
        <v>0</v>
      </c>
      <c r="BE33" s="100" t="s">
        <v>234</v>
      </c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46">
        <f t="shared" si="25"/>
        <v>0</v>
      </c>
      <c r="CG33" s="147">
        <v>0</v>
      </c>
      <c r="CH33" s="146">
        <f t="shared" si="28"/>
        <v>0</v>
      </c>
      <c r="CI33" s="145">
        <f t="shared" si="28"/>
        <v>0</v>
      </c>
      <c r="CJ33" s="108" t="s">
        <v>234</v>
      </c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41">
        <f t="shared" si="3"/>
        <v>0</v>
      </c>
      <c r="DF33" s="152">
        <v>0</v>
      </c>
      <c r="DG33" s="108" t="s">
        <v>234</v>
      </c>
      <c r="DH33" s="109">
        <f>IF(AND(DI2&lt;&gt;0,DI2*0.119&gt;=0.5),6+(DI2*0.119),6.5)</f>
        <v>8.498999999999999</v>
      </c>
      <c r="DI33" s="345" t="s">
        <v>106</v>
      </c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41">
        <f>SUM(DH33:EE33)</f>
        <v>8.498999999999999</v>
      </c>
      <c r="EG33" s="147">
        <v>6</v>
      </c>
      <c r="EH33" s="141">
        <f t="shared" si="29"/>
        <v>8.498999999999999</v>
      </c>
      <c r="EI33" s="142">
        <f t="shared" si="29"/>
        <v>6</v>
      </c>
      <c r="EJ33" s="108" t="s">
        <v>235</v>
      </c>
      <c r="EK33" s="109">
        <f>IF(AND(EK3&lt;&gt;0,EK3*0.123&gt;=0.5),5+(EK3*0.123),5.5)</f>
        <v>7.7059999999999995</v>
      </c>
      <c r="EL33" s="345" t="s">
        <v>256</v>
      </c>
      <c r="EM33" s="109">
        <f>IF(AND(EM3&lt;&gt;0,EM3*0.123&gt;=0.5),5+(EM3*0.123),5.5)</f>
        <v>7.7059999999999995</v>
      </c>
      <c r="EN33" s="333" t="s">
        <v>244</v>
      </c>
      <c r="EO33" s="155"/>
      <c r="EP33" s="155"/>
      <c r="EQ33" s="150"/>
      <c r="ER33" s="150"/>
      <c r="ES33" s="150"/>
      <c r="ET33" s="150"/>
      <c r="EU33" s="155"/>
      <c r="EV33" s="155"/>
      <c r="EW33" s="155"/>
      <c r="EX33" s="155"/>
      <c r="EY33" s="155"/>
      <c r="EZ33" s="155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41">
        <f t="shared" si="5"/>
        <v>15.411999999999999</v>
      </c>
      <c r="FL33" s="147">
        <f>2*5</f>
        <v>10</v>
      </c>
      <c r="FM33" s="100" t="s">
        <v>234</v>
      </c>
      <c r="FN33" s="141">
        <f t="shared" si="6"/>
        <v>15.66</v>
      </c>
      <c r="FO33" s="142">
        <f t="shared" si="7"/>
        <v>16</v>
      </c>
      <c r="FP33" s="138">
        <f t="shared" si="8"/>
        <v>0</v>
      </c>
      <c r="FQ33" s="145">
        <f t="shared" si="9"/>
        <v>0</v>
      </c>
      <c r="FR33" s="146">
        <f t="shared" si="10"/>
        <v>0</v>
      </c>
      <c r="FS33" s="147">
        <f t="shared" si="11"/>
        <v>0</v>
      </c>
      <c r="FT33" s="146">
        <f t="shared" si="12"/>
        <v>0</v>
      </c>
      <c r="FU33" s="145">
        <f t="shared" si="13"/>
        <v>0</v>
      </c>
      <c r="FV33" s="141">
        <f t="shared" si="14"/>
        <v>0</v>
      </c>
      <c r="FW33" s="142">
        <f t="shared" si="15"/>
        <v>0</v>
      </c>
      <c r="FX33" s="141">
        <f t="shared" si="16"/>
        <v>8.498999999999999</v>
      </c>
      <c r="FY33" s="142">
        <f t="shared" si="17"/>
        <v>6</v>
      </c>
      <c r="FZ33" s="141">
        <f t="shared" si="18"/>
        <v>8.498999999999999</v>
      </c>
      <c r="GA33" s="142">
        <f t="shared" si="19"/>
        <v>6</v>
      </c>
      <c r="GB33" s="141">
        <f t="shared" si="20"/>
        <v>24.159</v>
      </c>
      <c r="GC33" s="142">
        <f t="shared" si="21"/>
        <v>22</v>
      </c>
      <c r="GD33" s="181">
        <f t="shared" si="22"/>
        <v>15.411999999999999</v>
      </c>
      <c r="GE33" s="182">
        <f t="shared" si="23"/>
        <v>10</v>
      </c>
      <c r="GG33" s="168">
        <f t="shared" si="24"/>
        <v>39.571</v>
      </c>
      <c r="GH33" s="184">
        <f t="shared" si="26"/>
        <v>32</v>
      </c>
      <c r="GI33" s="292">
        <f>'[1]lær-tímar'!AB86</f>
        <v>131.283</v>
      </c>
      <c r="GJ33" s="292">
        <f>(GG33+GG34)-GI33</f>
        <v>0</v>
      </c>
    </row>
    <row r="34" spans="1:190" ht="12.75">
      <c r="A34" s="100" t="s">
        <v>236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09">
        <f>IF(AND(L3&lt;&gt;0,L3*0.119&gt;=0.5),5+(L3*0.119),5.5)</f>
        <v>7.856</v>
      </c>
      <c r="M34" s="361" t="s">
        <v>279</v>
      </c>
      <c r="N34" s="109">
        <f>IF(AND(N3&lt;&gt;0,N3*0.119&gt;=0.5),5+(N3*0.119),5.5)</f>
        <v>7.856</v>
      </c>
      <c r="O34" s="143" t="s">
        <v>106</v>
      </c>
      <c r="P34" s="109">
        <f>IF(AND(P3&lt;&gt;0,P3*0.119&gt;=0.5),5+(P3*0.119),5.5)</f>
        <v>7.856</v>
      </c>
      <c r="Q34" s="367" t="s">
        <v>111</v>
      </c>
      <c r="R34" s="109">
        <f>IF(AND(R3&lt;&gt;0,R3*0.119&gt;=0.5),5+(R3*0.119),5.5)</f>
        <v>7.856</v>
      </c>
      <c r="S34" s="143" t="s">
        <v>261</v>
      </c>
      <c r="T34" s="148"/>
      <c r="U34" s="148"/>
      <c r="V34" s="148"/>
      <c r="W34" s="148"/>
      <c r="X34" s="148"/>
      <c r="Y34" s="148"/>
      <c r="Z34" s="148"/>
      <c r="AA34" s="148"/>
      <c r="AB34" s="148"/>
      <c r="AC34" s="141">
        <f t="shared" si="0"/>
        <v>31.424</v>
      </c>
      <c r="AD34" s="142">
        <f>4*5</f>
        <v>20</v>
      </c>
      <c r="AE34" s="100" t="s">
        <v>236</v>
      </c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09">
        <f>IF(AND((AP3-5)&lt;&gt;0,(AP3-5)*0.119&gt;=0.5),5+((AP3-5)*0.119),5.5)</f>
        <v>7.023</v>
      </c>
      <c r="AQ34" s="201" t="s">
        <v>256</v>
      </c>
      <c r="AR34" s="109">
        <f>IF(AND((AR3-4)&lt;&gt;0,(AR3-4)*0.119&gt;=0.5),5+((AR3-4)*0.119),5.5)</f>
        <v>6.428</v>
      </c>
      <c r="AS34" s="361" t="s">
        <v>299</v>
      </c>
      <c r="AT34" s="109">
        <f>IF(AND((AT3-4)&lt;&gt;0,(AT3-4)*0.119&gt;=0.5),5+((AT3-4)*0.119),5.5)</f>
        <v>6.785</v>
      </c>
      <c r="AU34" s="330" t="s">
        <v>252</v>
      </c>
      <c r="AV34" s="109">
        <f>IF(AND((AV3-4)&lt;&gt;0,(AV3-4)*0.119&gt;=0.5),5+((AV3-4)*0.119),5.5)</f>
        <v>7.023</v>
      </c>
      <c r="AW34" s="143" t="s">
        <v>261</v>
      </c>
      <c r="AX34" s="148"/>
      <c r="AY34" s="148"/>
      <c r="AZ34" s="148"/>
      <c r="BA34" s="148"/>
      <c r="BB34" s="148"/>
      <c r="BC34" s="138">
        <f t="shared" si="1"/>
        <v>27.259</v>
      </c>
      <c r="BD34" s="158">
        <f>3*5</f>
        <v>15</v>
      </c>
      <c r="BE34" s="100" t="s">
        <v>236</v>
      </c>
      <c r="BF34" s="148"/>
      <c r="BG34" s="148"/>
      <c r="BH34" s="109">
        <f>IF(AND(BI2&lt;&gt;0,BI2*0.123&gt;=0.5),5+(BI2*0.123),5.5)</f>
        <v>5.615</v>
      </c>
      <c r="BI34" s="373" t="s">
        <v>244</v>
      </c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6">
        <f t="shared" si="25"/>
        <v>5.615</v>
      </c>
      <c r="CG34" s="145">
        <v>5</v>
      </c>
      <c r="CH34" s="146">
        <f t="shared" si="28"/>
        <v>32.874</v>
      </c>
      <c r="CI34" s="145">
        <f t="shared" si="28"/>
        <v>20</v>
      </c>
      <c r="CJ34" s="108" t="s">
        <v>236</v>
      </c>
      <c r="CK34" s="144"/>
      <c r="CL34" s="148"/>
      <c r="CM34" s="144"/>
      <c r="CN34" s="148"/>
      <c r="CO34" s="144"/>
      <c r="CP34" s="148"/>
      <c r="CQ34" s="144"/>
      <c r="CR34" s="148"/>
      <c r="CS34" s="144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1">
        <f t="shared" si="3"/>
        <v>0</v>
      </c>
      <c r="DF34" s="152">
        <v>0</v>
      </c>
      <c r="DG34" s="108" t="s">
        <v>236</v>
      </c>
      <c r="DH34" s="148"/>
      <c r="DI34" s="148"/>
      <c r="DJ34" s="109">
        <f>IF(AND(DJ3&lt;&gt;0,DJ3*0.134&gt;=0.5),5+(DJ3*0.134),5.5)</f>
        <v>7.412</v>
      </c>
      <c r="DK34" s="333" t="s">
        <v>244</v>
      </c>
      <c r="DL34" s="109">
        <f>IF(AND(DK3&lt;&gt;0,DK3*0.134&gt;=0.5),5+(DK3*0.134),5.5)</f>
        <v>7.546</v>
      </c>
      <c r="DM34" s="345" t="s">
        <v>105</v>
      </c>
      <c r="DN34" s="148"/>
      <c r="DO34" s="148"/>
      <c r="DP34" s="109">
        <f>IF(AND(DQ3&lt;&gt;0,DQ3*0.134&gt;=0.5),5+(DQ3*0.134),5.5)</f>
        <v>6.742</v>
      </c>
      <c r="DQ34" s="345" t="s">
        <v>111</v>
      </c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1">
        <f>SUM(DH34:EE34)</f>
        <v>21.7</v>
      </c>
      <c r="EG34" s="145">
        <v>15</v>
      </c>
      <c r="EH34" s="141">
        <f t="shared" si="29"/>
        <v>21.7</v>
      </c>
      <c r="EI34" s="142">
        <f t="shared" si="29"/>
        <v>15</v>
      </c>
      <c r="EJ34" s="108" t="s">
        <v>237</v>
      </c>
      <c r="EK34" s="148"/>
      <c r="EL34" s="148"/>
      <c r="EM34" s="148"/>
      <c r="EN34" s="148"/>
      <c r="EO34" s="148"/>
      <c r="EP34" s="148"/>
      <c r="EQ34" s="148"/>
      <c r="ER34" s="140"/>
      <c r="ES34" s="140"/>
      <c r="ET34" s="140"/>
      <c r="EU34" s="148"/>
      <c r="EV34" s="148"/>
      <c r="EW34" s="148"/>
      <c r="EX34" s="148"/>
      <c r="EY34" s="148"/>
      <c r="EZ34" s="148"/>
      <c r="FA34" s="140"/>
      <c r="FB34" s="140"/>
      <c r="FC34" s="140"/>
      <c r="FD34" s="140"/>
      <c r="FE34" s="140"/>
      <c r="FF34" s="140"/>
      <c r="FG34" s="140"/>
      <c r="FH34" s="140"/>
      <c r="FI34" s="109">
        <f>IF(AND(FJ2&lt;&gt;0,FJ2*0.119&gt;=0.5),5+(FJ2*0.119),5.5)</f>
        <v>5.714</v>
      </c>
      <c r="FJ34" s="345" t="s">
        <v>256</v>
      </c>
      <c r="FK34" s="141">
        <f t="shared" si="5"/>
        <v>5.714</v>
      </c>
      <c r="FL34" s="145">
        <v>5</v>
      </c>
      <c r="FM34" s="100" t="s">
        <v>236</v>
      </c>
      <c r="FN34" s="141">
        <f t="shared" si="6"/>
        <v>31.424</v>
      </c>
      <c r="FO34" s="142">
        <f t="shared" si="7"/>
        <v>20</v>
      </c>
      <c r="FP34" s="138">
        <f t="shared" si="8"/>
        <v>27.259</v>
      </c>
      <c r="FQ34" s="145">
        <f t="shared" si="9"/>
        <v>15</v>
      </c>
      <c r="FR34" s="146">
        <f t="shared" si="10"/>
        <v>5.615</v>
      </c>
      <c r="FS34" s="147">
        <f t="shared" si="11"/>
        <v>5</v>
      </c>
      <c r="FT34" s="146">
        <f t="shared" si="12"/>
        <v>32.874</v>
      </c>
      <c r="FU34" s="145">
        <f t="shared" si="13"/>
        <v>20</v>
      </c>
      <c r="FV34" s="141">
        <f t="shared" si="14"/>
        <v>0</v>
      </c>
      <c r="FW34" s="142">
        <f t="shared" si="15"/>
        <v>0</v>
      </c>
      <c r="FX34" s="141">
        <f t="shared" si="16"/>
        <v>21.7</v>
      </c>
      <c r="FY34" s="142">
        <f t="shared" si="17"/>
        <v>15</v>
      </c>
      <c r="FZ34" s="141">
        <f t="shared" si="18"/>
        <v>21.7</v>
      </c>
      <c r="GA34" s="142">
        <f t="shared" si="19"/>
        <v>15</v>
      </c>
      <c r="GB34" s="141">
        <f t="shared" si="20"/>
        <v>85.998</v>
      </c>
      <c r="GC34" s="142">
        <f t="shared" si="21"/>
        <v>55</v>
      </c>
      <c r="GD34" s="181">
        <f t="shared" si="22"/>
        <v>5.714</v>
      </c>
      <c r="GE34" s="182">
        <f t="shared" si="23"/>
        <v>5</v>
      </c>
      <c r="GG34" s="168">
        <f t="shared" si="24"/>
        <v>91.712</v>
      </c>
      <c r="GH34" s="184">
        <f t="shared" si="26"/>
        <v>60</v>
      </c>
    </row>
    <row r="35" spans="1:192" ht="12.75">
      <c r="A35" s="100" t="s">
        <v>144</v>
      </c>
      <c r="B35" s="109">
        <v>3</v>
      </c>
      <c r="C35" s="361" t="s">
        <v>249</v>
      </c>
      <c r="D35" s="109">
        <v>3</v>
      </c>
      <c r="E35" s="361" t="s">
        <v>119</v>
      </c>
      <c r="F35" s="109">
        <v>3</v>
      </c>
      <c r="G35" s="361" t="s">
        <v>218</v>
      </c>
      <c r="H35" s="417"/>
      <c r="I35" s="330" t="s">
        <v>249</v>
      </c>
      <c r="J35" s="347"/>
      <c r="K35" s="437"/>
      <c r="L35" s="117">
        <v>3</v>
      </c>
      <c r="M35" s="361" t="s">
        <v>100</v>
      </c>
      <c r="N35" s="109">
        <v>3</v>
      </c>
      <c r="O35" s="143" t="s">
        <v>119</v>
      </c>
      <c r="P35" s="109">
        <v>3</v>
      </c>
      <c r="Q35" s="340" t="s">
        <v>218</v>
      </c>
      <c r="R35" s="109">
        <v>3</v>
      </c>
      <c r="S35" s="361" t="s">
        <v>119</v>
      </c>
      <c r="T35" s="155"/>
      <c r="U35" s="155"/>
      <c r="V35" s="155"/>
      <c r="W35" s="155"/>
      <c r="X35" s="155"/>
      <c r="Y35" s="155"/>
      <c r="Z35" s="155"/>
      <c r="AA35" s="155"/>
      <c r="AB35" s="155"/>
      <c r="AC35" s="141">
        <f t="shared" si="0"/>
        <v>21</v>
      </c>
      <c r="AD35" s="142">
        <f>8*3</f>
        <v>24</v>
      </c>
      <c r="AE35" s="100" t="s">
        <v>144</v>
      </c>
      <c r="AF35" s="109">
        <f>IF(AND(AF3&lt;&gt;0,AF3*0.033&gt;=0.5),3+(AF3*0.033),3.5)</f>
        <v>3.561</v>
      </c>
      <c r="AG35" s="374" t="s">
        <v>291</v>
      </c>
      <c r="AH35" s="109">
        <f>IF(AND(AH3&lt;&gt;0,AH3*0.033&gt;=0.5),3+(AH3*0.033),3.5)</f>
        <v>3.726</v>
      </c>
      <c r="AI35" s="423" t="s">
        <v>100</v>
      </c>
      <c r="AJ35" s="109">
        <f>IF(AND(AJ3&lt;&gt;0,AJ3*0.033&gt;=0.5),3+(AJ3*0.033),3.5)</f>
        <v>3.5</v>
      </c>
      <c r="AK35" s="423" t="s">
        <v>119</v>
      </c>
      <c r="AL35" s="109">
        <f>IF(AND(AL3&lt;&gt;0,AL3*0.033&gt;=0.5),3+(AL3*0.033),3.5)</f>
        <v>3.693</v>
      </c>
      <c r="AM35" s="160" t="s">
        <v>92</v>
      </c>
      <c r="AN35" s="109"/>
      <c r="AO35" s="332"/>
      <c r="AP35" s="109">
        <f>IF(AND(AP3&lt;&gt;0,AP3*0.033&gt;=0.5),3+(AP3*0.033),3.5)</f>
        <v>3.726</v>
      </c>
      <c r="AQ35" s="332" t="s">
        <v>291</v>
      </c>
      <c r="AR35" s="109">
        <f>IF(AND(AR3&lt;&gt;0,AR3*0.033&gt;=0.5),3+(AR3*0.033),3.5)</f>
        <v>3.528</v>
      </c>
      <c r="AS35" s="160" t="s">
        <v>92</v>
      </c>
      <c r="AT35" s="109">
        <f>IF(AND(AT3&lt;&gt;0,AT3*0.033&gt;=0.5),3+(AT3*0.033),3.5)</f>
        <v>3.627</v>
      </c>
      <c r="AU35" s="160" t="s">
        <v>249</v>
      </c>
      <c r="AV35" s="109">
        <f>IF(AND(AV3&lt;&gt;0,AV3*0.033&gt;=0.5),3+(AV3*0.033),3.5)</f>
        <v>3.693</v>
      </c>
      <c r="AW35" s="332" t="s">
        <v>291</v>
      </c>
      <c r="AX35" s="155"/>
      <c r="AY35" s="155"/>
      <c r="AZ35" s="155"/>
      <c r="BA35" s="155"/>
      <c r="BB35" s="155"/>
      <c r="BC35" s="138">
        <f t="shared" si="1"/>
        <v>29.054</v>
      </c>
      <c r="BD35" s="158">
        <f>7*3</f>
        <v>21</v>
      </c>
      <c r="BE35" s="100" t="s">
        <v>144</v>
      </c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46">
        <f t="shared" si="25"/>
        <v>0</v>
      </c>
      <c r="CG35" s="147">
        <v>0</v>
      </c>
      <c r="CH35" s="146">
        <f t="shared" si="28"/>
        <v>29.054</v>
      </c>
      <c r="CI35" s="145">
        <f t="shared" si="28"/>
        <v>21</v>
      </c>
      <c r="CJ35" s="108" t="s">
        <v>144</v>
      </c>
      <c r="CK35" s="109"/>
      <c r="CL35" s="334"/>
      <c r="CM35" s="109">
        <v>4</v>
      </c>
      <c r="CN35" s="334" t="s">
        <v>291</v>
      </c>
      <c r="CO35" s="109">
        <v>4</v>
      </c>
      <c r="CP35" s="334" t="s">
        <v>313</v>
      </c>
      <c r="CQ35" s="109">
        <v>4</v>
      </c>
      <c r="CR35" s="112" t="s">
        <v>278</v>
      </c>
      <c r="CS35" s="109"/>
      <c r="CT35" s="334"/>
      <c r="CU35" s="109">
        <v>4</v>
      </c>
      <c r="CV35" s="338" t="s">
        <v>249</v>
      </c>
      <c r="CW35" s="109">
        <v>4</v>
      </c>
      <c r="CX35" s="112" t="s">
        <v>278</v>
      </c>
      <c r="CY35" s="109">
        <v>4</v>
      </c>
      <c r="CZ35" s="112" t="s">
        <v>218</v>
      </c>
      <c r="DA35" s="155"/>
      <c r="DB35" s="155"/>
      <c r="DC35" s="155"/>
      <c r="DD35" s="155"/>
      <c r="DE35" s="141">
        <f t="shared" si="3"/>
        <v>24</v>
      </c>
      <c r="DF35" s="152">
        <f>8*4</f>
        <v>32</v>
      </c>
      <c r="DG35" s="108" t="s">
        <v>144</v>
      </c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41">
        <f>SUM(DH35:EE35)</f>
        <v>0</v>
      </c>
      <c r="EG35" s="145">
        <v>0</v>
      </c>
      <c r="EH35" s="141">
        <f t="shared" si="29"/>
        <v>24</v>
      </c>
      <c r="EI35" s="142">
        <f t="shared" si="29"/>
        <v>32</v>
      </c>
      <c r="EJ35" s="108" t="s">
        <v>144</v>
      </c>
      <c r="EK35" s="109">
        <f>IF(AND(EK3&lt;&gt;0,EK3*0.033&gt;=0.5),3+(EK3*0.033),3.5)</f>
        <v>3.726</v>
      </c>
      <c r="EL35" s="160" t="s">
        <v>249</v>
      </c>
      <c r="EM35" s="109">
        <f>IF(AND(EM3&lt;&gt;0,EM3*0.033&gt;=0.5),3+(EM3*0.033),3.5)</f>
        <v>3.726</v>
      </c>
      <c r="EN35" s="160" t="s">
        <v>119</v>
      </c>
      <c r="EO35" s="155"/>
      <c r="EP35" s="155"/>
      <c r="EQ35" s="150"/>
      <c r="ER35" s="150"/>
      <c r="ES35" s="150"/>
      <c r="ET35" s="150"/>
      <c r="EU35" s="109">
        <v>3</v>
      </c>
      <c r="EV35" s="160" t="s">
        <v>100</v>
      </c>
      <c r="EW35" s="109">
        <v>3</v>
      </c>
      <c r="EX35" s="332" t="s">
        <v>313</v>
      </c>
      <c r="EY35" s="113"/>
      <c r="EZ35" s="16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41">
        <f t="shared" si="5"/>
        <v>13.452</v>
      </c>
      <c r="FL35" s="145">
        <f>4*3</f>
        <v>12</v>
      </c>
      <c r="FM35" s="100" t="s">
        <v>144</v>
      </c>
      <c r="FN35" s="141">
        <f t="shared" si="6"/>
        <v>21</v>
      </c>
      <c r="FO35" s="142">
        <f t="shared" si="7"/>
        <v>24</v>
      </c>
      <c r="FP35" s="138">
        <f t="shared" si="8"/>
        <v>29.054</v>
      </c>
      <c r="FQ35" s="145">
        <f t="shared" si="9"/>
        <v>21</v>
      </c>
      <c r="FR35" s="146">
        <f t="shared" si="10"/>
        <v>0</v>
      </c>
      <c r="FS35" s="147">
        <f t="shared" si="11"/>
        <v>0</v>
      </c>
      <c r="FT35" s="146">
        <f t="shared" si="12"/>
        <v>29.054</v>
      </c>
      <c r="FU35" s="145">
        <f t="shared" si="13"/>
        <v>21</v>
      </c>
      <c r="FV35" s="141">
        <f t="shared" si="14"/>
        <v>24</v>
      </c>
      <c r="FW35" s="142">
        <f t="shared" si="15"/>
        <v>32</v>
      </c>
      <c r="FX35" s="141">
        <f t="shared" si="16"/>
        <v>0</v>
      </c>
      <c r="FY35" s="142">
        <f t="shared" si="17"/>
        <v>0</v>
      </c>
      <c r="FZ35" s="141">
        <f t="shared" si="18"/>
        <v>24</v>
      </c>
      <c r="GA35" s="142">
        <f t="shared" si="19"/>
        <v>32</v>
      </c>
      <c r="GB35" s="141">
        <f t="shared" si="20"/>
        <v>74.054</v>
      </c>
      <c r="GC35" s="142">
        <f t="shared" si="21"/>
        <v>77</v>
      </c>
      <c r="GD35" s="181">
        <f t="shared" si="22"/>
        <v>13.452</v>
      </c>
      <c r="GE35" s="182">
        <f t="shared" si="23"/>
        <v>12</v>
      </c>
      <c r="GG35" s="168">
        <f t="shared" si="24"/>
        <v>87.506</v>
      </c>
      <c r="GH35" s="184">
        <f t="shared" si="26"/>
        <v>89</v>
      </c>
      <c r="GI35" s="292">
        <f>'[1]lær-tímar'!AC86</f>
        <v>87.506</v>
      </c>
      <c r="GJ35" s="292">
        <f t="shared" si="27"/>
        <v>0</v>
      </c>
    </row>
    <row r="36" spans="1:192" ht="12.75">
      <c r="A36" s="100" t="s">
        <v>145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8"/>
      <c r="U36" s="148"/>
      <c r="V36" s="148"/>
      <c r="W36" s="148"/>
      <c r="X36" s="148"/>
      <c r="Y36" s="148"/>
      <c r="Z36" s="148"/>
      <c r="AA36" s="148"/>
      <c r="AB36" s="148"/>
      <c r="AC36" s="141">
        <f t="shared" si="0"/>
        <v>0</v>
      </c>
      <c r="AD36" s="142">
        <v>0</v>
      </c>
      <c r="AE36" s="100" t="s">
        <v>145</v>
      </c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8"/>
      <c r="AY36" s="148"/>
      <c r="AZ36" s="148"/>
      <c r="BA36" s="148"/>
      <c r="BB36" s="148"/>
      <c r="BC36" s="138">
        <f t="shared" si="1"/>
        <v>0</v>
      </c>
      <c r="BD36" s="158">
        <v>0</v>
      </c>
      <c r="BE36" s="100" t="s">
        <v>145</v>
      </c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09">
        <f>IF(AND(BU3&lt;&gt;0,BU3*0.045&gt;=0.5),4+(BU3*0.045),4.5)</f>
        <v>4.5</v>
      </c>
      <c r="BS36" s="338" t="s">
        <v>299</v>
      </c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6">
        <f t="shared" si="25"/>
        <v>4.5</v>
      </c>
      <c r="CG36" s="145">
        <v>4</v>
      </c>
      <c r="CH36" s="146">
        <f t="shared" si="28"/>
        <v>4.5</v>
      </c>
      <c r="CI36" s="145">
        <f t="shared" si="28"/>
        <v>4</v>
      </c>
      <c r="CJ36" s="108" t="s">
        <v>145</v>
      </c>
      <c r="CK36" s="144"/>
      <c r="CL36" s="148"/>
      <c r="CM36" s="144"/>
      <c r="CN36" s="148"/>
      <c r="CO36" s="144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1">
        <f t="shared" si="3"/>
        <v>0</v>
      </c>
      <c r="DF36" s="152">
        <v>0</v>
      </c>
      <c r="DG36" s="108" t="s">
        <v>145</v>
      </c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1">
        <f>SUM(DH36:EE36)</f>
        <v>0</v>
      </c>
      <c r="EG36" s="147">
        <v>0</v>
      </c>
      <c r="EH36" s="141">
        <f t="shared" si="29"/>
        <v>0</v>
      </c>
      <c r="EI36" s="142">
        <f t="shared" si="29"/>
        <v>0</v>
      </c>
      <c r="EJ36" s="108" t="s">
        <v>145</v>
      </c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1">
        <f t="shared" si="5"/>
        <v>0</v>
      </c>
      <c r="FL36" s="147">
        <v>0</v>
      </c>
      <c r="FM36" s="100" t="s">
        <v>145</v>
      </c>
      <c r="FN36" s="141">
        <f t="shared" si="6"/>
        <v>0</v>
      </c>
      <c r="FO36" s="142">
        <f t="shared" si="7"/>
        <v>0</v>
      </c>
      <c r="FP36" s="138">
        <f t="shared" si="8"/>
        <v>0</v>
      </c>
      <c r="FQ36" s="145">
        <f t="shared" si="9"/>
        <v>0</v>
      </c>
      <c r="FR36" s="146">
        <f t="shared" si="10"/>
        <v>4.5</v>
      </c>
      <c r="FS36" s="147">
        <f t="shared" si="11"/>
        <v>4</v>
      </c>
      <c r="FT36" s="146">
        <f t="shared" si="12"/>
        <v>4.5</v>
      </c>
      <c r="FU36" s="145">
        <f t="shared" si="13"/>
        <v>4</v>
      </c>
      <c r="FV36" s="141">
        <f t="shared" si="14"/>
        <v>0</v>
      </c>
      <c r="FW36" s="142">
        <f t="shared" si="15"/>
        <v>0</v>
      </c>
      <c r="FX36" s="141">
        <f t="shared" si="16"/>
        <v>0</v>
      </c>
      <c r="FY36" s="142">
        <f t="shared" si="17"/>
        <v>0</v>
      </c>
      <c r="FZ36" s="141">
        <f t="shared" si="18"/>
        <v>0</v>
      </c>
      <c r="GA36" s="142">
        <f t="shared" si="19"/>
        <v>0</v>
      </c>
      <c r="GB36" s="141">
        <f t="shared" si="20"/>
        <v>4.5</v>
      </c>
      <c r="GC36" s="142">
        <f t="shared" si="21"/>
        <v>4</v>
      </c>
      <c r="GD36" s="181">
        <f t="shared" si="22"/>
        <v>0</v>
      </c>
      <c r="GE36" s="182">
        <f t="shared" si="23"/>
        <v>0</v>
      </c>
      <c r="GG36" s="168">
        <f t="shared" si="24"/>
        <v>4.5</v>
      </c>
      <c r="GH36" s="184">
        <f t="shared" si="26"/>
        <v>4</v>
      </c>
      <c r="GI36" s="292">
        <f>'[1]lær-tímar'!AD86</f>
        <v>4.5</v>
      </c>
      <c r="GJ36" s="292">
        <f t="shared" si="27"/>
        <v>0</v>
      </c>
    </row>
    <row r="37" spans="1:192" ht="12.75">
      <c r="A37" s="100" t="s">
        <v>146</v>
      </c>
      <c r="B37" s="109">
        <v>1.5</v>
      </c>
      <c r="C37" s="143" t="s">
        <v>245</v>
      </c>
      <c r="D37" s="109">
        <v>1.5</v>
      </c>
      <c r="E37" s="143" t="s">
        <v>245</v>
      </c>
      <c r="F37" s="109">
        <v>1.5</v>
      </c>
      <c r="G37" s="361" t="s">
        <v>280</v>
      </c>
      <c r="H37" s="417"/>
      <c r="I37" s="330" t="s">
        <v>280</v>
      </c>
      <c r="J37" s="347"/>
      <c r="K37" s="437"/>
      <c r="L37" s="117">
        <v>1.5</v>
      </c>
      <c r="M37" s="361" t="s">
        <v>280</v>
      </c>
      <c r="N37" s="109">
        <v>1.5</v>
      </c>
      <c r="O37" s="361" t="s">
        <v>280</v>
      </c>
      <c r="P37" s="109">
        <v>1.5</v>
      </c>
      <c r="Q37" s="361" t="s">
        <v>280</v>
      </c>
      <c r="R37" s="109">
        <v>1.5</v>
      </c>
      <c r="S37" s="361" t="s">
        <v>280</v>
      </c>
      <c r="T37" s="155"/>
      <c r="U37" s="155"/>
      <c r="V37" s="155"/>
      <c r="W37" s="155"/>
      <c r="X37" s="155"/>
      <c r="Y37" s="155"/>
      <c r="Z37" s="155"/>
      <c r="AA37" s="155"/>
      <c r="AB37" s="155"/>
      <c r="AC37" s="141">
        <f t="shared" si="0"/>
        <v>10.5</v>
      </c>
      <c r="AD37" s="142">
        <f>8*1.5</f>
        <v>12</v>
      </c>
      <c r="AE37" s="100" t="s">
        <v>146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5"/>
      <c r="AY37" s="155"/>
      <c r="AZ37" s="155"/>
      <c r="BA37" s="155"/>
      <c r="BB37" s="155"/>
      <c r="BC37" s="138">
        <f t="shared" si="1"/>
        <v>0</v>
      </c>
      <c r="BD37" s="158">
        <v>0</v>
      </c>
      <c r="BE37" s="100" t="s">
        <v>146</v>
      </c>
      <c r="BF37" s="155"/>
      <c r="BG37" s="155"/>
      <c r="BH37" s="109">
        <f>IF(AND(BI3&lt;&gt;0,BI3*0.1&gt;=0.5),5+(BI3*0.1),5.5)</f>
        <v>7.4</v>
      </c>
      <c r="BI37" s="112" t="s">
        <v>280</v>
      </c>
      <c r="BJ37" s="109">
        <v>4</v>
      </c>
      <c r="BK37" s="112" t="s">
        <v>245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418"/>
      <c r="BX37" s="418"/>
      <c r="BY37" s="418"/>
      <c r="BZ37" s="418"/>
      <c r="CA37" s="155"/>
      <c r="CB37" s="155"/>
      <c r="CC37" s="155"/>
      <c r="CD37" s="155"/>
      <c r="CE37" s="155"/>
      <c r="CF37" s="146">
        <f t="shared" si="25"/>
        <v>11.4</v>
      </c>
      <c r="CG37" s="145">
        <v>5</v>
      </c>
      <c r="CH37" s="146">
        <f t="shared" si="28"/>
        <v>11.4</v>
      </c>
      <c r="CI37" s="145">
        <f t="shared" si="28"/>
        <v>5</v>
      </c>
      <c r="CJ37" s="108" t="s">
        <v>146</v>
      </c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41">
        <f t="shared" si="3"/>
        <v>0</v>
      </c>
      <c r="DF37" s="152">
        <v>0</v>
      </c>
      <c r="DG37" s="108" t="s">
        <v>146</v>
      </c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09">
        <f>IF(AND(DU2&lt;&gt;0,DU2*0.134&gt;=0.5),5+(DU2*0.134),5.5)</f>
        <v>6.742</v>
      </c>
      <c r="DU37" s="188" t="s">
        <v>245</v>
      </c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41">
        <f>SUM(DH37:EE37)</f>
        <v>6.742</v>
      </c>
      <c r="EG37" s="147">
        <f>5+4</f>
        <v>9</v>
      </c>
      <c r="EH37" s="141">
        <f t="shared" si="29"/>
        <v>6.742</v>
      </c>
      <c r="EI37" s="142">
        <f t="shared" si="29"/>
        <v>9</v>
      </c>
      <c r="EJ37" s="108" t="s">
        <v>146</v>
      </c>
      <c r="EK37" s="155"/>
      <c r="EL37" s="155"/>
      <c r="EM37" s="155"/>
      <c r="EN37" s="155"/>
      <c r="EO37" s="155"/>
      <c r="EP37" s="155"/>
      <c r="EQ37" s="191">
        <v>3</v>
      </c>
      <c r="ER37" s="363" t="s">
        <v>280</v>
      </c>
      <c r="ES37" s="155"/>
      <c r="ET37" s="155"/>
      <c r="EU37" s="155"/>
      <c r="EV37" s="155"/>
      <c r="EW37" s="155"/>
      <c r="EX37" s="155"/>
      <c r="EY37" s="155"/>
      <c r="EZ37" s="155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41">
        <f t="shared" si="5"/>
        <v>3</v>
      </c>
      <c r="FL37" s="147">
        <v>3</v>
      </c>
      <c r="FM37" s="100" t="s">
        <v>146</v>
      </c>
      <c r="FN37" s="141">
        <f t="shared" si="6"/>
        <v>10.5</v>
      </c>
      <c r="FO37" s="142">
        <f t="shared" si="7"/>
        <v>12</v>
      </c>
      <c r="FP37" s="138">
        <f t="shared" si="8"/>
        <v>0</v>
      </c>
      <c r="FQ37" s="145">
        <f t="shared" si="9"/>
        <v>0</v>
      </c>
      <c r="FR37" s="146">
        <f t="shared" si="10"/>
        <v>11.4</v>
      </c>
      <c r="FS37" s="147">
        <f t="shared" si="11"/>
        <v>5</v>
      </c>
      <c r="FT37" s="146">
        <f t="shared" si="12"/>
        <v>11.4</v>
      </c>
      <c r="FU37" s="145">
        <f t="shared" si="13"/>
        <v>5</v>
      </c>
      <c r="FV37" s="141">
        <f t="shared" si="14"/>
        <v>0</v>
      </c>
      <c r="FW37" s="142">
        <f t="shared" si="15"/>
        <v>0</v>
      </c>
      <c r="FX37" s="141">
        <f t="shared" si="16"/>
        <v>6.742</v>
      </c>
      <c r="FY37" s="142">
        <f t="shared" si="17"/>
        <v>9</v>
      </c>
      <c r="FZ37" s="141">
        <f t="shared" si="18"/>
        <v>6.742</v>
      </c>
      <c r="GA37" s="142">
        <f t="shared" si="19"/>
        <v>9</v>
      </c>
      <c r="GB37" s="141">
        <f t="shared" si="20"/>
        <v>28.642</v>
      </c>
      <c r="GC37" s="142">
        <f t="shared" si="21"/>
        <v>26</v>
      </c>
      <c r="GD37" s="181">
        <f t="shared" si="22"/>
        <v>3</v>
      </c>
      <c r="GE37" s="182">
        <f t="shared" si="23"/>
        <v>3</v>
      </c>
      <c r="GG37" s="168">
        <f t="shared" si="24"/>
        <v>31.642</v>
      </c>
      <c r="GH37" s="184">
        <f t="shared" si="26"/>
        <v>29</v>
      </c>
      <c r="GI37" s="292">
        <f>'[1]lær-tímar'!AE86</f>
        <v>31.642</v>
      </c>
      <c r="GJ37" s="292">
        <f t="shared" si="27"/>
        <v>0</v>
      </c>
    </row>
    <row r="38" spans="1:192" ht="12.75">
      <c r="A38" s="100" t="s">
        <v>238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95"/>
      <c r="M38" s="195"/>
      <c r="N38" s="196"/>
      <c r="O38" s="196"/>
      <c r="P38" s="196"/>
      <c r="Q38" s="196"/>
      <c r="R38" s="196"/>
      <c r="S38" s="196"/>
      <c r="T38" s="148"/>
      <c r="U38" s="148"/>
      <c r="V38" s="148"/>
      <c r="W38" s="148"/>
      <c r="X38" s="148"/>
      <c r="Y38" s="148"/>
      <c r="Z38" s="148"/>
      <c r="AA38" s="148"/>
      <c r="AB38" s="148"/>
      <c r="AC38" s="141">
        <f>SUM(B38:AB38)</f>
        <v>0</v>
      </c>
      <c r="AD38" s="142">
        <v>0</v>
      </c>
      <c r="AE38" s="100" t="s">
        <v>238</v>
      </c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44"/>
      <c r="AQ38" s="144"/>
      <c r="AR38" s="156"/>
      <c r="AS38" s="156"/>
      <c r="AT38" s="156"/>
      <c r="AU38" s="156"/>
      <c r="AV38" s="144"/>
      <c r="AW38" s="156"/>
      <c r="AX38" s="148"/>
      <c r="AY38" s="148"/>
      <c r="AZ38" s="148"/>
      <c r="BA38" s="148"/>
      <c r="BB38" s="148"/>
      <c r="BC38" s="138">
        <f t="shared" si="1"/>
        <v>0</v>
      </c>
      <c r="BD38" s="158">
        <v>0</v>
      </c>
      <c r="BE38" s="100" t="s">
        <v>238</v>
      </c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6">
        <f t="shared" si="25"/>
        <v>0</v>
      </c>
      <c r="CG38" s="147">
        <v>0</v>
      </c>
      <c r="CH38" s="146">
        <f t="shared" si="28"/>
        <v>0</v>
      </c>
      <c r="CI38" s="145">
        <f t="shared" si="28"/>
        <v>0</v>
      </c>
      <c r="CJ38" s="108" t="s">
        <v>238</v>
      </c>
      <c r="CK38" s="144"/>
      <c r="CL38" s="148"/>
      <c r="CM38" s="144"/>
      <c r="CN38" s="148"/>
      <c r="CO38" s="144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1">
        <f>SUM(CK38:DD38)</f>
        <v>0</v>
      </c>
      <c r="DF38" s="152">
        <v>0</v>
      </c>
      <c r="DG38" s="108" t="s">
        <v>238</v>
      </c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1">
        <f>SUM(DH38:EE38)</f>
        <v>0</v>
      </c>
      <c r="EG38" s="147">
        <v>0</v>
      </c>
      <c r="EH38" s="141">
        <f t="shared" si="29"/>
        <v>0</v>
      </c>
      <c r="EI38" s="142">
        <f t="shared" si="29"/>
        <v>0</v>
      </c>
      <c r="EJ38" s="108" t="s">
        <v>238</v>
      </c>
      <c r="EK38" s="148"/>
      <c r="EL38" s="148"/>
      <c r="EM38" s="148"/>
      <c r="EN38" s="148"/>
      <c r="EO38" s="148"/>
      <c r="EP38" s="154"/>
      <c r="EQ38" s="109"/>
      <c r="ER38" s="447"/>
      <c r="ES38" s="154"/>
      <c r="ET38" s="154"/>
      <c r="EU38" s="154"/>
      <c r="EV38" s="154"/>
      <c r="EW38" s="148"/>
      <c r="EX38" s="148"/>
      <c r="EY38" s="148"/>
      <c r="EZ38" s="148"/>
      <c r="FA38" s="148"/>
      <c r="FB38" s="148"/>
      <c r="FC38" s="140"/>
      <c r="FD38" s="140"/>
      <c r="FE38" s="140"/>
      <c r="FF38" s="140"/>
      <c r="FG38" s="140"/>
      <c r="FH38" s="140"/>
      <c r="FI38" s="140"/>
      <c r="FJ38" s="140"/>
      <c r="FK38" s="141">
        <f t="shared" si="5"/>
        <v>0</v>
      </c>
      <c r="FL38" s="147">
        <v>0</v>
      </c>
      <c r="FM38" s="100" t="s">
        <v>238</v>
      </c>
      <c r="FN38" s="141">
        <f t="shared" si="6"/>
        <v>0</v>
      </c>
      <c r="FO38" s="142">
        <f t="shared" si="7"/>
        <v>0</v>
      </c>
      <c r="FP38" s="138">
        <f t="shared" si="8"/>
        <v>0</v>
      </c>
      <c r="FQ38" s="145">
        <f t="shared" si="9"/>
        <v>0</v>
      </c>
      <c r="FR38" s="146">
        <f t="shared" si="10"/>
        <v>0</v>
      </c>
      <c r="FS38" s="147">
        <f t="shared" si="11"/>
        <v>0</v>
      </c>
      <c r="FT38" s="146">
        <f t="shared" si="12"/>
        <v>0</v>
      </c>
      <c r="FU38" s="145">
        <f t="shared" si="13"/>
        <v>0</v>
      </c>
      <c r="FV38" s="141">
        <f t="shared" si="14"/>
        <v>0</v>
      </c>
      <c r="FW38" s="142">
        <f t="shared" si="15"/>
        <v>0</v>
      </c>
      <c r="FX38" s="141">
        <f t="shared" si="16"/>
        <v>0</v>
      </c>
      <c r="FY38" s="142">
        <f t="shared" si="17"/>
        <v>0</v>
      </c>
      <c r="FZ38" s="141">
        <f t="shared" si="18"/>
        <v>0</v>
      </c>
      <c r="GA38" s="142">
        <f t="shared" si="19"/>
        <v>0</v>
      </c>
      <c r="GB38" s="141">
        <f t="shared" si="20"/>
        <v>0</v>
      </c>
      <c r="GC38" s="142">
        <f t="shared" si="21"/>
        <v>0</v>
      </c>
      <c r="GD38" s="181">
        <f t="shared" si="22"/>
        <v>0</v>
      </c>
      <c r="GE38" s="182">
        <f t="shared" si="23"/>
        <v>0</v>
      </c>
      <c r="GG38" s="168">
        <f t="shared" si="24"/>
        <v>0</v>
      </c>
      <c r="GH38" s="184">
        <f t="shared" si="26"/>
        <v>0</v>
      </c>
      <c r="GI38" s="292">
        <f>'[1]lær-tímar'!AF86</f>
        <v>72.24100000000001</v>
      </c>
      <c r="GJ38" s="292">
        <f>(GG38+GG39)-GI38</f>
        <v>0</v>
      </c>
    </row>
    <row r="39" spans="1:190" ht="12.75">
      <c r="A39" s="100" t="s">
        <v>239</v>
      </c>
      <c r="B39" s="109">
        <f>IF(AND(B3&lt;&gt;0,B3*0.075&gt;=0.5),4+(B3*0.075),4.5)</f>
        <v>5.65</v>
      </c>
      <c r="C39" s="332" t="s">
        <v>268</v>
      </c>
      <c r="D39" s="109">
        <f>IF(AND(D3&lt;&gt;0,D3*0.075&gt;=0.5),4+(D3*0.075),4.5)</f>
        <v>5.575</v>
      </c>
      <c r="E39" s="160" t="s">
        <v>251</v>
      </c>
      <c r="F39" s="109">
        <f>IF(AND(F3&lt;&gt;0,F3*0.075&gt;=0.5),4+(F3*0.075),4.5)</f>
        <v>5.35</v>
      </c>
      <c r="G39" s="332" t="s">
        <v>93</v>
      </c>
      <c r="H39" s="448"/>
      <c r="I39" s="332" t="s">
        <v>93</v>
      </c>
      <c r="J39" s="347"/>
      <c r="K39" s="449"/>
      <c r="L39" s="117">
        <f>IF(AND(M3&lt;&gt;0,M3*0.075&gt;=0.5),4+(M3*0.075),4.5)</f>
        <v>5.05</v>
      </c>
      <c r="M39" s="376" t="s">
        <v>93</v>
      </c>
      <c r="N39" s="109"/>
      <c r="O39" s="143"/>
      <c r="P39" s="109"/>
      <c r="Q39" s="143"/>
      <c r="R39" s="109"/>
      <c r="S39" s="160"/>
      <c r="T39" s="155"/>
      <c r="U39" s="155"/>
      <c r="V39" s="155"/>
      <c r="W39" s="155"/>
      <c r="X39" s="155"/>
      <c r="Y39" s="155"/>
      <c r="Z39" s="155"/>
      <c r="AA39" s="155"/>
      <c r="AB39" s="155"/>
      <c r="AC39" s="141">
        <f>SUM(B39:AB39)</f>
        <v>21.625000000000004</v>
      </c>
      <c r="AD39" s="142">
        <f>5*4</f>
        <v>20</v>
      </c>
      <c r="AE39" s="100" t="s">
        <v>239</v>
      </c>
      <c r="AF39" s="109">
        <f>IF(AND(AF3&lt;&gt;0,AF3*0.1&gt;=0.5),4+(AF3*0.1),4.5)</f>
        <v>5.7</v>
      </c>
      <c r="AG39" s="361" t="s">
        <v>93</v>
      </c>
      <c r="AH39" s="109">
        <f>IF(AND(AH3&lt;&gt;0,AH3*0.1&gt;=0.5),4+(AH3*0.1),4.5)</f>
        <v>6.2</v>
      </c>
      <c r="AI39" s="340" t="s">
        <v>232</v>
      </c>
      <c r="AJ39" s="109">
        <f>IF(AND(AJ3&lt;&gt;0,AJ3*0.1&gt;=0.5),4+(AJ3*0.1),4.5)</f>
        <v>5.2</v>
      </c>
      <c r="AK39" s="143" t="s">
        <v>255</v>
      </c>
      <c r="AL39" s="109">
        <f>IF(AND(AL3&lt;&gt;0,AL3*0.1&gt;=0.5),4+(AL3*0.1),4.5)</f>
        <v>6.1</v>
      </c>
      <c r="AM39" s="361" t="s">
        <v>232</v>
      </c>
      <c r="AN39" s="109"/>
      <c r="AO39" s="143"/>
      <c r="AP39" s="109">
        <f>IF(AND(AS2&lt;&gt;0,AS2*0.1&gt;=0.5),4+(AS2*0.1),4.5)</f>
        <v>5.2</v>
      </c>
      <c r="AQ39" s="143" t="s">
        <v>255</v>
      </c>
      <c r="AR39" s="151"/>
      <c r="AS39" s="151"/>
      <c r="AT39" s="151"/>
      <c r="AU39" s="151"/>
      <c r="AV39" s="155"/>
      <c r="AW39" s="155"/>
      <c r="AX39" s="155"/>
      <c r="AY39" s="155"/>
      <c r="AZ39" s="155"/>
      <c r="BA39" s="155"/>
      <c r="BB39" s="155"/>
      <c r="BC39" s="138">
        <f t="shared" si="1"/>
        <v>28.400000000000002</v>
      </c>
      <c r="BD39" s="158">
        <f>5*4</f>
        <v>20</v>
      </c>
      <c r="BE39" s="100" t="s">
        <v>239</v>
      </c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46">
        <f t="shared" si="25"/>
        <v>0</v>
      </c>
      <c r="CG39" s="147">
        <v>0</v>
      </c>
      <c r="CH39" s="146">
        <f t="shared" si="28"/>
        <v>28.400000000000002</v>
      </c>
      <c r="CI39" s="145">
        <f t="shared" si="28"/>
        <v>20</v>
      </c>
      <c r="CJ39" s="108" t="s">
        <v>239</v>
      </c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41">
        <f>SUM(CK39:DD39)</f>
        <v>0</v>
      </c>
      <c r="DF39" s="152">
        <v>0</v>
      </c>
      <c r="DG39" s="108" t="s">
        <v>239</v>
      </c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09">
        <f>IF(AND(DY2&lt;&gt;0,DY2*0.134&gt;=0.5),5+(DY2*0.134),5.5)</f>
        <v>6.6080000000000005</v>
      </c>
      <c r="DY39" s="188" t="s">
        <v>89</v>
      </c>
      <c r="DZ39" s="109">
        <f>IF(AND(DY3&lt;&gt;0,DY3*0.134&gt;=0.5),5+(DY3*0.134),5.5)</f>
        <v>6.6080000000000005</v>
      </c>
      <c r="EA39" s="419" t="s">
        <v>87</v>
      </c>
      <c r="EB39" s="155"/>
      <c r="EC39" s="155"/>
      <c r="ED39" s="155"/>
      <c r="EE39" s="155"/>
      <c r="EF39" s="141">
        <f>SUM(DH39:EE39)</f>
        <v>13.216000000000001</v>
      </c>
      <c r="EG39" s="147">
        <v>5</v>
      </c>
      <c r="EH39" s="141">
        <f t="shared" si="29"/>
        <v>13.216000000000001</v>
      </c>
      <c r="EI39" s="142">
        <f t="shared" si="29"/>
        <v>5</v>
      </c>
      <c r="EJ39" s="108" t="s">
        <v>239</v>
      </c>
      <c r="EK39" s="155"/>
      <c r="EL39" s="155"/>
      <c r="EM39" s="155"/>
      <c r="EN39" s="155"/>
      <c r="EO39" s="155"/>
      <c r="EP39" s="155"/>
      <c r="EQ39" s="193">
        <f>IF(AND(ER3&lt;&gt;0,ER3*0.061&gt;=0.5),4+(ER3*0.061),4.5)</f>
        <v>4.5</v>
      </c>
      <c r="ER39" s="419" t="s">
        <v>87</v>
      </c>
      <c r="ES39" s="155"/>
      <c r="ET39" s="155"/>
      <c r="EU39" s="155"/>
      <c r="EV39" s="155"/>
      <c r="EW39" s="155"/>
      <c r="EX39" s="155"/>
      <c r="EY39" s="155"/>
      <c r="EZ39" s="155"/>
      <c r="FA39" s="109">
        <f>IF(AND(FB3&lt;&gt;0,FB3*0.1&gt;=0.5),4+(FB3*0.1),4.5)</f>
        <v>4.5</v>
      </c>
      <c r="FB39" s="450" t="s">
        <v>251</v>
      </c>
      <c r="FC39" s="150"/>
      <c r="FD39" s="150"/>
      <c r="FE39" s="150"/>
      <c r="FF39" s="109">
        <v>0</v>
      </c>
      <c r="FG39" s="447"/>
      <c r="FH39" s="150"/>
      <c r="FI39" s="150"/>
      <c r="FJ39" s="150"/>
      <c r="FK39" s="141">
        <f t="shared" si="5"/>
        <v>9</v>
      </c>
      <c r="FL39" s="147">
        <f>4</f>
        <v>4</v>
      </c>
      <c r="FM39" s="100" t="s">
        <v>239</v>
      </c>
      <c r="FN39" s="141">
        <f t="shared" si="6"/>
        <v>21.625000000000004</v>
      </c>
      <c r="FO39" s="142">
        <f t="shared" si="7"/>
        <v>20</v>
      </c>
      <c r="FP39" s="138">
        <f t="shared" si="8"/>
        <v>28.400000000000002</v>
      </c>
      <c r="FQ39" s="145">
        <f t="shared" si="9"/>
        <v>20</v>
      </c>
      <c r="FR39" s="146">
        <f t="shared" si="10"/>
        <v>0</v>
      </c>
      <c r="FS39" s="147">
        <f t="shared" si="11"/>
        <v>0</v>
      </c>
      <c r="FT39" s="146">
        <f t="shared" si="12"/>
        <v>28.400000000000002</v>
      </c>
      <c r="FU39" s="145">
        <f t="shared" si="13"/>
        <v>20</v>
      </c>
      <c r="FV39" s="141">
        <f t="shared" si="14"/>
        <v>0</v>
      </c>
      <c r="FW39" s="142">
        <f t="shared" si="15"/>
        <v>0</v>
      </c>
      <c r="FX39" s="141">
        <f t="shared" si="16"/>
        <v>13.216000000000001</v>
      </c>
      <c r="FY39" s="142">
        <f t="shared" si="17"/>
        <v>5</v>
      </c>
      <c r="FZ39" s="141">
        <f t="shared" si="18"/>
        <v>13.216000000000001</v>
      </c>
      <c r="GA39" s="142">
        <f t="shared" si="19"/>
        <v>5</v>
      </c>
      <c r="GB39" s="141">
        <f t="shared" si="20"/>
        <v>63.24100000000001</v>
      </c>
      <c r="GC39" s="142">
        <f t="shared" si="21"/>
        <v>45</v>
      </c>
      <c r="GD39" s="181">
        <f t="shared" si="22"/>
        <v>9</v>
      </c>
      <c r="GE39" s="182">
        <f t="shared" si="23"/>
        <v>4</v>
      </c>
      <c r="GG39" s="168">
        <f t="shared" si="24"/>
        <v>72.24100000000001</v>
      </c>
      <c r="GH39" s="184">
        <f t="shared" si="26"/>
        <v>49</v>
      </c>
    </row>
    <row r="40" spans="1:192" ht="12.75">
      <c r="A40" s="100" t="s">
        <v>148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8"/>
      <c r="U40" s="148"/>
      <c r="V40" s="148"/>
      <c r="W40" s="148"/>
      <c r="X40" s="148"/>
      <c r="Y40" s="148"/>
      <c r="Z40" s="148"/>
      <c r="AA40" s="148"/>
      <c r="AB40" s="148"/>
      <c r="AC40" s="141">
        <f>SUM(B40:AB40)</f>
        <v>0</v>
      </c>
      <c r="AD40" s="142">
        <v>0</v>
      </c>
      <c r="AE40" s="100" t="s">
        <v>148</v>
      </c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8"/>
      <c r="AY40" s="148"/>
      <c r="AZ40" s="148"/>
      <c r="BA40" s="148"/>
      <c r="BB40" s="148"/>
      <c r="BC40" s="138">
        <f t="shared" si="1"/>
        <v>0</v>
      </c>
      <c r="BD40" s="158">
        <v>0</v>
      </c>
      <c r="BE40" s="100" t="s">
        <v>148</v>
      </c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6">
        <f t="shared" si="25"/>
        <v>0</v>
      </c>
      <c r="CG40" s="147">
        <v>0</v>
      </c>
      <c r="CH40" s="146">
        <f t="shared" si="28"/>
        <v>0</v>
      </c>
      <c r="CI40" s="145">
        <f t="shared" si="28"/>
        <v>0</v>
      </c>
      <c r="CJ40" s="108" t="s">
        <v>148</v>
      </c>
      <c r="CK40" s="144"/>
      <c r="CL40" s="148"/>
      <c r="CM40" s="144"/>
      <c r="CN40" s="148"/>
      <c r="CO40" s="144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1">
        <f>SUM(CK40:DD40)</f>
        <v>0</v>
      </c>
      <c r="DF40" s="152">
        <v>0</v>
      </c>
      <c r="DG40" s="108" t="s">
        <v>148</v>
      </c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1">
        <f>SUM(DH40:EE40)</f>
        <v>0</v>
      </c>
      <c r="EG40" s="147">
        <v>0</v>
      </c>
      <c r="EH40" s="141">
        <f t="shared" si="29"/>
        <v>0</v>
      </c>
      <c r="EI40" s="142">
        <f t="shared" si="29"/>
        <v>0</v>
      </c>
      <c r="EJ40" s="108" t="s">
        <v>148</v>
      </c>
      <c r="EK40" s="148"/>
      <c r="EL40" s="148"/>
      <c r="EM40" s="148"/>
      <c r="EN40" s="148"/>
      <c r="EO40" s="148"/>
      <c r="EP40" s="148"/>
      <c r="EQ40" s="140"/>
      <c r="ER40" s="140"/>
      <c r="ES40" s="140"/>
      <c r="ET40" s="140"/>
      <c r="EU40" s="148"/>
      <c r="EV40" s="148"/>
      <c r="EW40" s="148"/>
      <c r="EX40" s="148"/>
      <c r="EY40" s="148"/>
      <c r="EZ40" s="148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1">
        <f t="shared" si="5"/>
        <v>0</v>
      </c>
      <c r="FL40" s="147">
        <v>0</v>
      </c>
      <c r="FM40" s="100" t="s">
        <v>148</v>
      </c>
      <c r="FN40" s="141">
        <f t="shared" si="6"/>
        <v>0</v>
      </c>
      <c r="FO40" s="142">
        <f t="shared" si="7"/>
        <v>0</v>
      </c>
      <c r="FP40" s="138">
        <f t="shared" si="8"/>
        <v>0</v>
      </c>
      <c r="FQ40" s="145">
        <f t="shared" si="9"/>
        <v>0</v>
      </c>
      <c r="FR40" s="146">
        <f t="shared" si="10"/>
        <v>0</v>
      </c>
      <c r="FS40" s="147">
        <f t="shared" si="11"/>
        <v>0</v>
      </c>
      <c r="FT40" s="146">
        <f t="shared" si="12"/>
        <v>0</v>
      </c>
      <c r="FU40" s="145">
        <f t="shared" si="13"/>
        <v>0</v>
      </c>
      <c r="FV40" s="141">
        <f t="shared" si="14"/>
        <v>0</v>
      </c>
      <c r="FW40" s="142">
        <f t="shared" si="15"/>
        <v>0</v>
      </c>
      <c r="FX40" s="141">
        <f t="shared" si="16"/>
        <v>0</v>
      </c>
      <c r="FY40" s="142">
        <f t="shared" si="17"/>
        <v>0</v>
      </c>
      <c r="FZ40" s="141">
        <f t="shared" si="18"/>
        <v>0</v>
      </c>
      <c r="GA40" s="142">
        <f t="shared" si="19"/>
        <v>0</v>
      </c>
      <c r="GB40" s="141">
        <f t="shared" si="20"/>
        <v>0</v>
      </c>
      <c r="GC40" s="142">
        <f t="shared" si="21"/>
        <v>0</v>
      </c>
      <c r="GD40" s="181">
        <f t="shared" si="22"/>
        <v>0</v>
      </c>
      <c r="GE40" s="182">
        <f t="shared" si="23"/>
        <v>0</v>
      </c>
      <c r="GG40" s="168">
        <f t="shared" si="24"/>
        <v>0</v>
      </c>
      <c r="GH40" s="184">
        <f t="shared" si="26"/>
        <v>0</v>
      </c>
      <c r="GI40" s="292">
        <f>'[1]lær-tímar'!AG86</f>
        <v>0</v>
      </c>
      <c r="GJ40" s="292">
        <f t="shared" si="27"/>
        <v>0</v>
      </c>
    </row>
    <row r="41" spans="1:192" ht="12.75">
      <c r="A41" s="100" t="s">
        <v>149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5"/>
      <c r="U41" s="155"/>
      <c r="V41" s="155"/>
      <c r="W41" s="155"/>
      <c r="X41" s="155"/>
      <c r="Y41" s="155"/>
      <c r="Z41" s="155"/>
      <c r="AA41" s="155"/>
      <c r="AB41" s="155"/>
      <c r="AC41" s="141">
        <f>SUM(B41:AB41)</f>
        <v>0</v>
      </c>
      <c r="AD41" s="142">
        <v>0</v>
      </c>
      <c r="AE41" s="100" t="s">
        <v>149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5"/>
      <c r="AY41" s="155"/>
      <c r="AZ41" s="155"/>
      <c r="BA41" s="155"/>
      <c r="BB41" s="155"/>
      <c r="BC41" s="138">
        <f t="shared" si="1"/>
        <v>0</v>
      </c>
      <c r="BD41" s="158">
        <v>0</v>
      </c>
      <c r="BE41" s="100" t="s">
        <v>149</v>
      </c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417">
        <f>IF(AND(CA2&lt;&gt;0,CA2*0.022&gt;=0.5),4+(CA2*0.022),4.5)</f>
        <v>4.5</v>
      </c>
      <c r="CA41" s="117" t="s">
        <v>290</v>
      </c>
      <c r="CB41" s="441"/>
      <c r="CC41" s="155"/>
      <c r="CD41" s="155"/>
      <c r="CE41" s="155"/>
      <c r="CF41" s="146">
        <f t="shared" si="25"/>
        <v>4.5</v>
      </c>
      <c r="CG41" s="147">
        <v>4</v>
      </c>
      <c r="CH41" s="146">
        <f t="shared" si="28"/>
        <v>4.5</v>
      </c>
      <c r="CI41" s="145">
        <f t="shared" si="28"/>
        <v>4</v>
      </c>
      <c r="CJ41" s="108" t="s">
        <v>149</v>
      </c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41">
        <f>SUM(CK41:DD41)</f>
        <v>0</v>
      </c>
      <c r="DF41" s="152">
        <v>0</v>
      </c>
      <c r="DG41" s="108" t="s">
        <v>149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41">
        <f>SUM(DH41:EE41)</f>
        <v>0</v>
      </c>
      <c r="EG41" s="147">
        <v>0</v>
      </c>
      <c r="EH41" s="141">
        <f t="shared" si="29"/>
        <v>0</v>
      </c>
      <c r="EI41" s="142">
        <f t="shared" si="29"/>
        <v>0</v>
      </c>
      <c r="EJ41" s="108" t="s">
        <v>149</v>
      </c>
      <c r="EK41" s="155"/>
      <c r="EL41" s="155"/>
      <c r="EM41" s="155"/>
      <c r="EN41" s="155"/>
      <c r="EO41" s="155"/>
      <c r="EP41" s="155"/>
      <c r="EQ41" s="150"/>
      <c r="ER41" s="150"/>
      <c r="ES41" s="150"/>
      <c r="ET41" s="150"/>
      <c r="EU41" s="155"/>
      <c r="EV41" s="155"/>
      <c r="EW41" s="155"/>
      <c r="EX41" s="155"/>
      <c r="EY41" s="155"/>
      <c r="EZ41" s="155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41">
        <f t="shared" si="5"/>
        <v>0</v>
      </c>
      <c r="FL41" s="147">
        <v>0</v>
      </c>
      <c r="FM41" s="100" t="s">
        <v>149</v>
      </c>
      <c r="FN41" s="141">
        <f t="shared" si="6"/>
        <v>0</v>
      </c>
      <c r="FO41" s="142">
        <f t="shared" si="7"/>
        <v>0</v>
      </c>
      <c r="FP41" s="138">
        <f t="shared" si="8"/>
        <v>0</v>
      </c>
      <c r="FQ41" s="145">
        <f t="shared" si="9"/>
        <v>0</v>
      </c>
      <c r="FR41" s="146">
        <f t="shared" si="10"/>
        <v>4.5</v>
      </c>
      <c r="FS41" s="147">
        <f t="shared" si="11"/>
        <v>4</v>
      </c>
      <c r="FT41" s="146">
        <f t="shared" si="12"/>
        <v>4.5</v>
      </c>
      <c r="FU41" s="145">
        <f t="shared" si="13"/>
        <v>4</v>
      </c>
      <c r="FV41" s="141">
        <f t="shared" si="14"/>
        <v>0</v>
      </c>
      <c r="FW41" s="142">
        <f t="shared" si="15"/>
        <v>0</v>
      </c>
      <c r="FX41" s="141">
        <f t="shared" si="16"/>
        <v>0</v>
      </c>
      <c r="FY41" s="142">
        <f t="shared" si="17"/>
        <v>0</v>
      </c>
      <c r="FZ41" s="141">
        <f t="shared" si="18"/>
        <v>0</v>
      </c>
      <c r="GA41" s="142">
        <f t="shared" si="19"/>
        <v>0</v>
      </c>
      <c r="GB41" s="141">
        <f t="shared" si="20"/>
        <v>4.5</v>
      </c>
      <c r="GC41" s="142">
        <f t="shared" si="21"/>
        <v>4</v>
      </c>
      <c r="GD41" s="181">
        <f t="shared" si="22"/>
        <v>0</v>
      </c>
      <c r="GE41" s="182">
        <f t="shared" si="23"/>
        <v>0</v>
      </c>
      <c r="GG41" s="168">
        <f t="shared" si="24"/>
        <v>4.5</v>
      </c>
      <c r="GH41" s="184">
        <f t="shared" si="26"/>
        <v>4</v>
      </c>
      <c r="GI41" s="292">
        <f>'[1]lær-tímar'!AH86</f>
        <v>4.5</v>
      </c>
      <c r="GJ41" s="292">
        <f t="shared" si="27"/>
        <v>0</v>
      </c>
    </row>
    <row r="42" spans="1:192" ht="12.75">
      <c r="A42" s="100" t="s">
        <v>240</v>
      </c>
      <c r="B42" s="109">
        <v>2</v>
      </c>
      <c r="C42" s="160" t="s">
        <v>116</v>
      </c>
      <c r="D42" s="109">
        <v>2</v>
      </c>
      <c r="E42" s="160" t="s">
        <v>115</v>
      </c>
      <c r="F42" s="109">
        <v>2</v>
      </c>
      <c r="G42" s="160" t="s">
        <v>114</v>
      </c>
      <c r="H42" s="113"/>
      <c r="I42" s="160"/>
      <c r="J42" s="353"/>
      <c r="K42" s="357"/>
      <c r="L42" s="117">
        <v>2</v>
      </c>
      <c r="M42" s="160" t="s">
        <v>114</v>
      </c>
      <c r="N42" s="109">
        <v>2</v>
      </c>
      <c r="O42" s="160" t="s">
        <v>115</v>
      </c>
      <c r="P42" s="109">
        <v>2</v>
      </c>
      <c r="Q42" s="160" t="s">
        <v>116</v>
      </c>
      <c r="R42" s="109">
        <v>2</v>
      </c>
      <c r="S42" s="160" t="s">
        <v>112</v>
      </c>
      <c r="T42" s="144"/>
      <c r="U42" s="144"/>
      <c r="V42" s="144"/>
      <c r="W42" s="144"/>
      <c r="X42" s="144"/>
      <c r="Y42" s="144"/>
      <c r="Z42" s="144"/>
      <c r="AA42" s="144"/>
      <c r="AB42" s="144"/>
      <c r="AC42" s="141">
        <f>SUM(B42:AB42)</f>
        <v>14</v>
      </c>
      <c r="AD42" s="142">
        <v>0</v>
      </c>
      <c r="AE42" s="100" t="s">
        <v>240</v>
      </c>
      <c r="AF42" s="109">
        <v>1</v>
      </c>
      <c r="AG42" s="160" t="s">
        <v>115</v>
      </c>
      <c r="AH42" s="109">
        <v>1</v>
      </c>
      <c r="AI42" s="160" t="s">
        <v>116</v>
      </c>
      <c r="AJ42" s="109">
        <v>1</v>
      </c>
      <c r="AK42" s="160" t="s">
        <v>112</v>
      </c>
      <c r="AL42" s="109">
        <v>1</v>
      </c>
      <c r="AM42" s="160" t="s">
        <v>114</v>
      </c>
      <c r="AN42" s="109"/>
      <c r="AO42" s="160"/>
      <c r="AP42" s="109">
        <v>1</v>
      </c>
      <c r="AQ42" s="160" t="s">
        <v>114</v>
      </c>
      <c r="AR42" s="109">
        <v>1</v>
      </c>
      <c r="AS42" s="160" t="s">
        <v>112</v>
      </c>
      <c r="AT42" s="109">
        <v>1</v>
      </c>
      <c r="AU42" s="160" t="s">
        <v>116</v>
      </c>
      <c r="AV42" s="109">
        <v>1</v>
      </c>
      <c r="AW42" s="160" t="s">
        <v>115</v>
      </c>
      <c r="AX42" s="144"/>
      <c r="AY42" s="144"/>
      <c r="AZ42" s="144"/>
      <c r="BA42" s="144"/>
      <c r="BB42" s="144"/>
      <c r="BC42" s="138">
        <f t="shared" si="1"/>
        <v>8</v>
      </c>
      <c r="BD42" s="158">
        <v>0</v>
      </c>
      <c r="BE42" s="100" t="s">
        <v>240</v>
      </c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6">
        <f>SUM(BF42:CE42)</f>
        <v>0</v>
      </c>
      <c r="CG42" s="147">
        <v>0</v>
      </c>
      <c r="CH42" s="146">
        <f t="shared" si="28"/>
        <v>8</v>
      </c>
      <c r="CI42" s="145">
        <f t="shared" si="28"/>
        <v>0</v>
      </c>
      <c r="CJ42" s="100" t="s">
        <v>240</v>
      </c>
      <c r="CK42" s="109"/>
      <c r="CL42" s="160"/>
      <c r="CM42" s="109">
        <v>1.3</v>
      </c>
      <c r="CN42" s="160" t="s">
        <v>112</v>
      </c>
      <c r="CO42" s="109">
        <v>1.3</v>
      </c>
      <c r="CP42" s="160" t="s">
        <v>114</v>
      </c>
      <c r="CQ42" s="109">
        <v>1.3</v>
      </c>
      <c r="CR42" s="160" t="s">
        <v>115</v>
      </c>
      <c r="CS42" s="109"/>
      <c r="CT42" s="160"/>
      <c r="CU42" s="109">
        <v>1.3</v>
      </c>
      <c r="CV42" s="160" t="s">
        <v>114</v>
      </c>
      <c r="CW42" s="109">
        <v>1.3</v>
      </c>
      <c r="CX42" s="160" t="s">
        <v>112</v>
      </c>
      <c r="CY42" s="109">
        <v>1.3</v>
      </c>
      <c r="CZ42" s="160" t="s">
        <v>116</v>
      </c>
      <c r="DA42" s="148"/>
      <c r="DB42" s="148"/>
      <c r="DC42" s="148"/>
      <c r="DD42" s="148"/>
      <c r="DE42" s="141">
        <f>SUM(CK42:DD42)</f>
        <v>7.8</v>
      </c>
      <c r="DF42" s="152">
        <v>0</v>
      </c>
      <c r="DG42" s="108" t="s">
        <v>240</v>
      </c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1">
        <f>SUM(DH42:EE42)</f>
        <v>0</v>
      </c>
      <c r="EG42" s="147">
        <v>0</v>
      </c>
      <c r="EH42" s="141">
        <f t="shared" si="29"/>
        <v>7.8</v>
      </c>
      <c r="EI42" s="142">
        <f t="shared" si="29"/>
        <v>0</v>
      </c>
      <c r="EJ42" s="100" t="s">
        <v>240</v>
      </c>
      <c r="EK42" s="293">
        <v>2.1</v>
      </c>
      <c r="EL42" s="186" t="s">
        <v>115</v>
      </c>
      <c r="EM42" s="293">
        <v>2.1</v>
      </c>
      <c r="EN42" s="186" t="s">
        <v>116</v>
      </c>
      <c r="EO42" s="148"/>
      <c r="EP42" s="148"/>
      <c r="EQ42" s="148"/>
      <c r="ER42" s="148"/>
      <c r="ES42" s="148"/>
      <c r="ET42" s="148"/>
      <c r="EU42" s="293">
        <v>2.1</v>
      </c>
      <c r="EV42" s="186" t="s">
        <v>112</v>
      </c>
      <c r="EW42" s="293">
        <v>2.1</v>
      </c>
      <c r="EX42" s="186" t="s">
        <v>114</v>
      </c>
      <c r="EY42" s="293"/>
      <c r="EZ42" s="149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1">
        <f t="shared" si="5"/>
        <v>8.4</v>
      </c>
      <c r="FL42" s="147">
        <v>0</v>
      </c>
      <c r="FM42" s="100" t="s">
        <v>240</v>
      </c>
      <c r="FN42" s="141">
        <f t="shared" si="6"/>
        <v>14</v>
      </c>
      <c r="FO42" s="142">
        <f t="shared" si="7"/>
        <v>0</v>
      </c>
      <c r="FP42" s="138">
        <f t="shared" si="8"/>
        <v>8</v>
      </c>
      <c r="FQ42" s="145">
        <f t="shared" si="9"/>
        <v>0</v>
      </c>
      <c r="FR42" s="146">
        <f t="shared" si="10"/>
        <v>0</v>
      </c>
      <c r="FS42" s="147">
        <f t="shared" si="11"/>
        <v>0</v>
      </c>
      <c r="FT42" s="146">
        <f t="shared" si="12"/>
        <v>8</v>
      </c>
      <c r="FU42" s="145">
        <f t="shared" si="13"/>
        <v>0</v>
      </c>
      <c r="FV42" s="141">
        <f t="shared" si="14"/>
        <v>7.8</v>
      </c>
      <c r="FW42" s="142">
        <f t="shared" si="15"/>
        <v>0</v>
      </c>
      <c r="FX42" s="141">
        <f t="shared" si="16"/>
        <v>0</v>
      </c>
      <c r="FY42" s="142">
        <f t="shared" si="17"/>
        <v>0</v>
      </c>
      <c r="FZ42" s="141">
        <f t="shared" si="18"/>
        <v>7.8</v>
      </c>
      <c r="GA42" s="142">
        <f t="shared" si="19"/>
        <v>0</v>
      </c>
      <c r="GB42" s="141">
        <f t="shared" si="20"/>
        <v>29.8</v>
      </c>
      <c r="GC42" s="142">
        <f>SUM(FO42+FU42+GA42)</f>
        <v>0</v>
      </c>
      <c r="GD42" s="181">
        <f t="shared" si="22"/>
        <v>8.4</v>
      </c>
      <c r="GE42" s="182">
        <f t="shared" si="23"/>
        <v>0</v>
      </c>
      <c r="GG42" s="168">
        <f t="shared" si="24"/>
        <v>38.2</v>
      </c>
      <c r="GH42" s="184">
        <f t="shared" si="26"/>
        <v>0</v>
      </c>
      <c r="GI42" s="292">
        <f>'[1]lær-tímar'!AN86</f>
        <v>38.2</v>
      </c>
      <c r="GJ42" s="292">
        <f>GG42-GI42</f>
        <v>0</v>
      </c>
    </row>
    <row r="43" spans="1:192" ht="12.75">
      <c r="A43" s="161" t="s">
        <v>179</v>
      </c>
      <c r="B43" s="162">
        <f>SUM(B4:B42)</f>
        <v>47.080999999999996</v>
      </c>
      <c r="C43" s="162"/>
      <c r="D43" s="162">
        <f>SUM(D4:D42)</f>
        <v>46.708</v>
      </c>
      <c r="E43" s="162"/>
      <c r="F43" s="162">
        <f>SUM(F4:F42)</f>
        <v>45.589</v>
      </c>
      <c r="G43" s="162"/>
      <c r="H43" s="162"/>
      <c r="I43" s="162"/>
      <c r="J43" s="162"/>
      <c r="K43" s="162"/>
      <c r="L43" s="162">
        <f>SUM(L4:L42)</f>
        <v>56.033</v>
      </c>
      <c r="M43" s="162"/>
      <c r="N43" s="162">
        <f>SUM(N4:N42)</f>
        <v>51.011</v>
      </c>
      <c r="O43" s="162"/>
      <c r="P43" s="162">
        <f>SUM(P4:P42)</f>
        <v>51.011</v>
      </c>
      <c r="Q43" s="162"/>
      <c r="R43" s="162">
        <f>SUM(R4:R42)</f>
        <v>51.983000000000004</v>
      </c>
      <c r="S43" s="162"/>
      <c r="T43" s="103"/>
      <c r="U43" s="103"/>
      <c r="V43" s="103"/>
      <c r="W43" s="103"/>
      <c r="X43" s="103"/>
      <c r="Y43" s="103"/>
      <c r="Z43" s="103"/>
      <c r="AA43" s="103"/>
      <c r="AB43" s="103"/>
      <c r="AC43" s="104">
        <f>SUM(AC4:AC41)</f>
        <v>335.416</v>
      </c>
      <c r="AD43" s="104">
        <f>SUM(AD4:AD42)</f>
        <v>279</v>
      </c>
      <c r="AF43" s="162">
        <f>SUM(AF4:AF42)</f>
        <v>42.98</v>
      </c>
      <c r="AG43" s="104"/>
      <c r="AH43" s="162">
        <f>SUM(AH4:AH42)</f>
        <v>45.805</v>
      </c>
      <c r="AJ43" s="162">
        <f>SUM(AJ4:AJ42)</f>
        <v>44.863</v>
      </c>
      <c r="AL43" s="162">
        <f>SUM(AL4:AL42)</f>
        <v>45.239999999999995</v>
      </c>
      <c r="AN43" s="162">
        <f>SUM(AN4:AN42)</f>
        <v>0</v>
      </c>
      <c r="AP43" s="162">
        <f>SUM(AP4:AP42)</f>
        <v>54.744</v>
      </c>
      <c r="AR43" s="162">
        <f>SUM(AR4:AR42)</f>
        <v>37.419</v>
      </c>
      <c r="AT43" s="162">
        <f>SUM(AT4:AT42)</f>
        <v>43.621</v>
      </c>
      <c r="AV43" s="162">
        <f>SUM(AV4:AV42)</f>
        <v>44.736999999999995</v>
      </c>
      <c r="BC43" s="163">
        <f>SUM(BC4:BC41)</f>
        <v>351.40899999999993</v>
      </c>
      <c r="BD43" s="173">
        <f>SUM(BD4:BD41)</f>
        <v>228</v>
      </c>
      <c r="BF43" s="162" t="s">
        <v>0</v>
      </c>
      <c r="BG43" s="103"/>
      <c r="BH43" s="162" t="s">
        <v>0</v>
      </c>
      <c r="BI43" s="103"/>
      <c r="BJ43" s="162" t="s">
        <v>0</v>
      </c>
      <c r="BK43" s="103"/>
      <c r="BL43" s="162" t="s">
        <v>0</v>
      </c>
      <c r="BM43" s="103"/>
      <c r="BN43" s="162" t="s">
        <v>0</v>
      </c>
      <c r="BO43" s="103"/>
      <c r="BP43" s="162" t="s">
        <v>0</v>
      </c>
      <c r="BQ43" s="103"/>
      <c r="BR43" s="162" t="s">
        <v>241</v>
      </c>
      <c r="BS43" s="103"/>
      <c r="BT43" s="162" t="s">
        <v>0</v>
      </c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64">
        <f>SUM(CF4:CF42)</f>
        <v>125.01100000000001</v>
      </c>
      <c r="CG43" s="107">
        <f>SUM(CG4:CG42)</f>
        <v>86</v>
      </c>
      <c r="CH43" s="106">
        <f>SUM(BC43+CF43)</f>
        <v>476.41999999999996</v>
      </c>
      <c r="CI43" s="107">
        <f>SUM(BD43+CG43)</f>
        <v>314</v>
      </c>
      <c r="CK43" s="162">
        <f>SUM(CK4:CK42)</f>
        <v>0</v>
      </c>
      <c r="CL43" s="162"/>
      <c r="CM43" s="162">
        <f aca="true" t="shared" si="30" ref="CM43:CY43">SUM(CM4:CM42)</f>
        <v>21.574</v>
      </c>
      <c r="CN43" s="162"/>
      <c r="CO43" s="162">
        <f t="shared" si="30"/>
        <v>21.787000000000003</v>
      </c>
      <c r="CP43" s="162"/>
      <c r="CQ43" s="162">
        <f t="shared" si="30"/>
        <v>21.787000000000003</v>
      </c>
      <c r="CR43" s="162"/>
      <c r="CS43" s="162">
        <f t="shared" si="30"/>
        <v>0</v>
      </c>
      <c r="CT43" s="162"/>
      <c r="CU43" s="162">
        <f t="shared" si="30"/>
        <v>21.148</v>
      </c>
      <c r="CV43" s="162"/>
      <c r="CW43" s="162">
        <f t="shared" si="30"/>
        <v>20.935</v>
      </c>
      <c r="CX43" s="162"/>
      <c r="CY43" s="162">
        <f t="shared" si="30"/>
        <v>21.361</v>
      </c>
      <c r="CZ43" s="162"/>
      <c r="DA43" s="103"/>
      <c r="DB43" s="103"/>
      <c r="DC43" s="103"/>
      <c r="DD43" s="103"/>
      <c r="DE43" s="99">
        <f>SUM(DE4:DE41)</f>
        <v>120.792</v>
      </c>
      <c r="DF43" s="177">
        <f>SUM(DF4:DF41)</f>
        <v>120</v>
      </c>
      <c r="DH43" s="162">
        <f>SUM(DH4:DH41)</f>
        <v>15.838999999999999</v>
      </c>
      <c r="DI43" s="162"/>
      <c r="DJ43" s="162">
        <f>SUM(DJ4:DJ41)</f>
        <v>7.412</v>
      </c>
      <c r="DK43" s="162"/>
      <c r="DL43" s="162">
        <f>SUM(DL4:DL41)</f>
        <v>14.690000000000001</v>
      </c>
      <c r="DM43" s="162"/>
      <c r="DN43" s="162">
        <f>SUM(DN4:DN41)</f>
        <v>21.494</v>
      </c>
      <c r="DO43" s="162"/>
      <c r="DP43" s="162">
        <f>SUM(DP4:DP41)</f>
        <v>22.298</v>
      </c>
      <c r="DQ43" s="162"/>
      <c r="DR43" s="162">
        <f>SUM(DR4:DR41)</f>
        <v>6.474</v>
      </c>
      <c r="DS43" s="162"/>
      <c r="DT43" s="162">
        <f>SUM(DT4:DT41)</f>
        <v>13.751999999999999</v>
      </c>
      <c r="DU43" s="162"/>
      <c r="DV43" s="162">
        <f>SUM(DV4:DV41)</f>
        <v>14.958000000000002</v>
      </c>
      <c r="DW43" s="162"/>
      <c r="DX43" s="162">
        <f>SUM(DX4:DX41)</f>
        <v>6.6080000000000005</v>
      </c>
      <c r="DY43" s="162"/>
      <c r="DZ43" s="162">
        <f>SUM(DZ4:DZ41)</f>
        <v>6.6080000000000005</v>
      </c>
      <c r="EA43" s="162"/>
      <c r="EB43" s="162">
        <f>SUM(EB4:EB41)</f>
        <v>0</v>
      </c>
      <c r="EC43" s="162"/>
      <c r="ED43" s="162"/>
      <c r="EE43" s="162"/>
      <c r="EF43" s="106">
        <f>SUM(EF4:EF41)</f>
        <v>130.133</v>
      </c>
      <c r="EG43" s="165">
        <f>SUM(EG4:EG41)</f>
        <v>103</v>
      </c>
      <c r="EH43" s="106">
        <f>SUM(EH4:EH41)</f>
        <v>250.92499999999998</v>
      </c>
      <c r="EI43" s="165">
        <f>SUM(EI4:EI41)</f>
        <v>227</v>
      </c>
      <c r="EJ43" s="108" t="s">
        <v>248</v>
      </c>
      <c r="EK43" s="162">
        <f>SUM(EK4:EK41)</f>
        <v>31.45</v>
      </c>
      <c r="EM43" s="162">
        <f>SUM(EM4:EM41)</f>
        <v>31.45</v>
      </c>
      <c r="EO43" s="162" t="s">
        <v>0</v>
      </c>
      <c r="EQ43" s="289">
        <f>SUM(EO4:ES41)</f>
        <v>46.900000000000006</v>
      </c>
      <c r="EU43" s="162">
        <f>SUM(EU4:EU41)</f>
        <v>28.256999999999998</v>
      </c>
      <c r="EW43" s="162">
        <f>SUM(EW4:EW41)</f>
        <v>27.651</v>
      </c>
      <c r="EY43" s="162"/>
      <c r="FA43" s="162">
        <f>SUM(FA4:FA41)</f>
        <v>9.004</v>
      </c>
      <c r="FC43" s="162"/>
      <c r="FE43" s="289">
        <f>SUM(FC4:FJ41)</f>
        <v>9.714</v>
      </c>
      <c r="FH43" s="162"/>
      <c r="FI43" s="162"/>
      <c r="FK43" s="106">
        <f>SUM(FK4:FK41)</f>
        <v>184.426</v>
      </c>
      <c r="FL43" s="165">
        <f>SUM(FL4:FL41)</f>
        <v>124</v>
      </c>
      <c r="FN43" s="99">
        <f t="shared" si="6"/>
        <v>335.416</v>
      </c>
      <c r="FO43" s="170">
        <f t="shared" si="7"/>
        <v>279</v>
      </c>
      <c r="FP43" s="163">
        <f t="shared" si="8"/>
        <v>351.40899999999993</v>
      </c>
      <c r="FQ43" s="174">
        <f t="shared" si="9"/>
        <v>228</v>
      </c>
      <c r="FR43" s="163">
        <f t="shared" si="10"/>
        <v>125.01100000000001</v>
      </c>
      <c r="FS43" s="175">
        <f t="shared" si="11"/>
        <v>86</v>
      </c>
      <c r="FT43" s="163">
        <f t="shared" si="12"/>
        <v>476.41999999999996</v>
      </c>
      <c r="FU43" s="174">
        <f t="shared" si="13"/>
        <v>314</v>
      </c>
      <c r="FV43" s="99">
        <f t="shared" si="14"/>
        <v>120.792</v>
      </c>
      <c r="FW43" s="176">
        <f t="shared" si="15"/>
        <v>120</v>
      </c>
      <c r="FX43" s="99">
        <f t="shared" si="16"/>
        <v>130.133</v>
      </c>
      <c r="FY43" s="176">
        <f t="shared" si="17"/>
        <v>103</v>
      </c>
      <c r="FZ43" s="99">
        <f t="shared" si="18"/>
        <v>250.92499999999998</v>
      </c>
      <c r="GA43" s="176">
        <f t="shared" si="19"/>
        <v>227</v>
      </c>
      <c r="GB43" s="187">
        <f>SUM(GB4:GB41)</f>
        <v>1062.7610000000002</v>
      </c>
      <c r="GC43" s="170">
        <f>SUM(GC4:GC41)</f>
        <v>812</v>
      </c>
      <c r="GD43" s="178">
        <f t="shared" si="22"/>
        <v>184.426</v>
      </c>
      <c r="GE43" s="27">
        <f t="shared" si="23"/>
        <v>124</v>
      </c>
      <c r="GG43" s="169">
        <f>SUM(GG4:GG41)</f>
        <v>1247.1870000000001</v>
      </c>
      <c r="GH43" s="171">
        <f>SUM(GH4:GH41)</f>
        <v>936</v>
      </c>
      <c r="GI43" s="541">
        <f>GG43+'[1]lær-tímar'!AZ88</f>
        <v>1396.4370000000001</v>
      </c>
      <c r="GJ43" s="542"/>
    </row>
  </sheetData>
  <mergeCells count="2">
    <mergeCell ref="GJ1:GJ3"/>
    <mergeCell ref="GI43:GJ43"/>
  </mergeCells>
  <printOptions horizontalCentered="1" verticalCentered="1"/>
  <pageMargins left="0.7480314960629921" right="0.3937007874015748" top="0.2" bottom="0.22" header="0.2" footer="0.22"/>
  <pageSetup horizontalDpi="300" verticalDpi="300" orientation="landscape" paperSize="9" r:id="rId1"/>
  <headerFooter alignWithMargins="0">
    <oddHeader>&amp;C&amp;8SKÚLAÁRIÐ 2004-2005
</oddHeader>
    <oddFooter>&amp;R&amp;6&amp;D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F39" sqref="F39"/>
    </sheetView>
  </sheetViews>
  <sheetFormatPr defaultColWidth="9.140625" defaultRowHeight="12.75"/>
  <cols>
    <col min="1" max="1" width="22.140625" style="100" customWidth="1"/>
    <col min="2" max="2" width="8.00390625" style="474" customWidth="1"/>
    <col min="3" max="3" width="1.7109375" style="474" customWidth="1"/>
    <col min="4" max="4" width="7.8515625" style="475" customWidth="1"/>
    <col min="5" max="5" width="1.7109375" style="475" customWidth="1"/>
    <col min="6" max="6" width="7.7109375" style="475" customWidth="1"/>
    <col min="7" max="7" width="1.8515625" style="0" customWidth="1"/>
    <col min="8" max="8" width="15.00390625" style="15" customWidth="1"/>
    <col min="9" max="9" width="1.7109375" style="0" customWidth="1"/>
    <col min="10" max="10" width="10.8515625" style="476" customWidth="1"/>
    <col min="11" max="11" width="1.7109375" style="0" customWidth="1"/>
    <col min="12" max="12" width="15.421875" style="319" customWidth="1"/>
  </cols>
  <sheetData>
    <row r="1" spans="1:12" s="323" customFormat="1" ht="12.75">
      <c r="A1" s="315"/>
      <c r="B1" s="320" t="s">
        <v>283</v>
      </c>
      <c r="C1" s="321"/>
      <c r="D1" s="322" t="s">
        <v>57</v>
      </c>
      <c r="F1" s="322" t="s">
        <v>254</v>
      </c>
      <c r="H1" s="322"/>
      <c r="J1" s="324" t="s">
        <v>4</v>
      </c>
      <c r="L1" s="324"/>
    </row>
    <row r="2" ht="9" customHeight="1">
      <c r="A2" s="119"/>
    </row>
    <row r="3" spans="1:12" ht="19.5" customHeight="1">
      <c r="A3" s="314" t="s">
        <v>120</v>
      </c>
      <c r="B3" s="477">
        <f>'[1]lær-tímar'!C86</f>
        <v>28.663999999999998</v>
      </c>
      <c r="C3" s="477"/>
      <c r="D3" s="474">
        <f>'[1]faktímab'!GG4</f>
        <v>28.664</v>
      </c>
      <c r="F3" s="474">
        <f>D3-B3</f>
        <v>0</v>
      </c>
      <c r="J3" s="478"/>
      <c r="K3" s="326"/>
      <c r="L3" s="337"/>
    </row>
    <row r="4" spans="1:12" ht="19.5" customHeight="1">
      <c r="A4" s="314" t="s">
        <v>121</v>
      </c>
      <c r="B4" s="477">
        <f>'[1]lær-tímar'!D86</f>
        <v>55.22</v>
      </c>
      <c r="C4" s="477"/>
      <c r="D4" s="474">
        <f>'[1]faktímab'!GG5</f>
        <v>55.22</v>
      </c>
      <c r="F4" s="474">
        <f aca="true" t="shared" si="0" ref="F4:F34">D4-B4</f>
        <v>0</v>
      </c>
      <c r="H4" s="15" t="s">
        <v>330</v>
      </c>
      <c r="J4" s="478"/>
      <c r="K4" s="326"/>
      <c r="L4" s="337"/>
    </row>
    <row r="5" spans="1:12" ht="19.5" customHeight="1">
      <c r="A5" s="314" t="s">
        <v>122</v>
      </c>
      <c r="B5" s="477">
        <f>'[1]lær-tímar'!E86</f>
        <v>97.94600000000001</v>
      </c>
      <c r="C5" s="477"/>
      <c r="D5" s="474">
        <f>'[1]faktímab'!GG6</f>
        <v>97.946</v>
      </c>
      <c r="F5" s="474">
        <f t="shared" si="0"/>
        <v>0</v>
      </c>
      <c r="H5" s="15" t="s">
        <v>331</v>
      </c>
      <c r="J5" s="478" t="s">
        <v>332</v>
      </c>
      <c r="K5" s="326"/>
      <c r="L5" s="337"/>
    </row>
    <row r="6" spans="1:12" ht="19.5" customHeight="1">
      <c r="A6" s="314" t="s">
        <v>123</v>
      </c>
      <c r="B6" s="477">
        <f>'[1]lær-tímar'!F86</f>
        <v>139.92100000000002</v>
      </c>
      <c r="C6" s="477"/>
      <c r="D6" s="474">
        <f>'[1]faktímab'!GG7+'[1]faktímab'!GG8</f>
        <v>139.921</v>
      </c>
      <c r="F6" s="474">
        <f t="shared" si="0"/>
        <v>0</v>
      </c>
      <c r="H6" s="15" t="s">
        <v>333</v>
      </c>
      <c r="J6" s="478" t="s">
        <v>3</v>
      </c>
      <c r="K6" s="326"/>
      <c r="L6" s="337"/>
    </row>
    <row r="7" spans="1:12" ht="19.5" customHeight="1">
      <c r="A7" s="314" t="s">
        <v>124</v>
      </c>
      <c r="B7" s="477">
        <f>'[1]lær-tímar'!G86</f>
        <v>37.544000000000004</v>
      </c>
      <c r="C7" s="477"/>
      <c r="D7" s="474">
        <f>'[1]faktímab'!GG9+'[1]faktímab'!GG10</f>
        <v>37.544000000000004</v>
      </c>
      <c r="F7" s="474">
        <f t="shared" si="0"/>
        <v>0</v>
      </c>
      <c r="H7" s="15" t="s">
        <v>334</v>
      </c>
      <c r="J7" s="478"/>
      <c r="K7" s="326"/>
      <c r="L7" s="337"/>
    </row>
    <row r="8" spans="1:12" ht="19.5" customHeight="1">
      <c r="A8" s="314" t="s">
        <v>125</v>
      </c>
      <c r="B8" s="477">
        <f>'[1]lær-tímar'!H86</f>
        <v>22.5</v>
      </c>
      <c r="C8" s="477"/>
      <c r="D8" s="474">
        <f>'[1]faktímab'!GG11</f>
        <v>22.5</v>
      </c>
      <c r="F8" s="474">
        <f t="shared" si="0"/>
        <v>0</v>
      </c>
      <c r="J8" s="478"/>
      <c r="K8" s="326"/>
      <c r="L8" s="337"/>
    </row>
    <row r="9" spans="1:12" ht="19.5" customHeight="1">
      <c r="A9" s="314" t="s">
        <v>227</v>
      </c>
      <c r="B9" s="477">
        <f>'[1]lær-tímar'!I86</f>
        <v>4</v>
      </c>
      <c r="C9" s="477"/>
      <c r="D9" s="474">
        <f>'[1]faktímab'!GG12</f>
        <v>4</v>
      </c>
      <c r="F9" s="474">
        <f t="shared" si="0"/>
        <v>0</v>
      </c>
      <c r="J9" s="478"/>
      <c r="K9" s="326"/>
      <c r="L9" s="337"/>
    </row>
    <row r="10" spans="1:12" ht="19.5" customHeight="1">
      <c r="A10" s="314" t="s">
        <v>127</v>
      </c>
      <c r="B10" s="477">
        <f>'[1]lær-tímar'!J86</f>
        <v>5</v>
      </c>
      <c r="C10" s="477"/>
      <c r="D10" s="474">
        <f>'[1]faktímab'!GG13</f>
        <v>5</v>
      </c>
      <c r="F10" s="474">
        <f t="shared" si="0"/>
        <v>0</v>
      </c>
      <c r="J10" s="478"/>
      <c r="K10" s="326"/>
      <c r="L10" s="337"/>
    </row>
    <row r="11" spans="1:12" ht="19.5" customHeight="1">
      <c r="A11" s="314" t="s">
        <v>128</v>
      </c>
      <c r="B11" s="477">
        <f>'[1]lær-tímar'!K86</f>
        <v>4</v>
      </c>
      <c r="C11" s="477"/>
      <c r="D11" s="474">
        <f>'[1]faktímab'!GG14</f>
        <v>4</v>
      </c>
      <c r="F11" s="474">
        <f t="shared" si="0"/>
        <v>0</v>
      </c>
      <c r="J11" s="478"/>
      <c r="K11" s="326"/>
      <c r="L11" s="337"/>
    </row>
    <row r="12" spans="1:12" ht="19.5" customHeight="1">
      <c r="A12" s="314" t="s">
        <v>129</v>
      </c>
      <c r="B12" s="477">
        <f>'[1]lær-tímar'!L86</f>
        <v>29.002000000000002</v>
      </c>
      <c r="C12" s="477"/>
      <c r="D12" s="474">
        <f>'[1]faktímab'!GG15</f>
        <v>29.002</v>
      </c>
      <c r="F12" s="474">
        <f t="shared" si="0"/>
        <v>0</v>
      </c>
      <c r="J12" s="478"/>
      <c r="K12" s="326"/>
      <c r="L12" s="337"/>
    </row>
    <row r="13" spans="1:12" ht="19.5" customHeight="1">
      <c r="A13" s="314" t="s">
        <v>130</v>
      </c>
      <c r="B13" s="477">
        <f>'[1]lær-tímar'!M86</f>
        <v>165.104</v>
      </c>
      <c r="C13" s="477"/>
      <c r="D13" s="474">
        <f>'[1]faktímab'!GG16</f>
        <v>165.104</v>
      </c>
      <c r="F13" s="474">
        <f t="shared" si="0"/>
        <v>0</v>
      </c>
      <c r="H13" s="15" t="s">
        <v>335</v>
      </c>
      <c r="J13" s="479" t="s">
        <v>336</v>
      </c>
      <c r="K13" s="326"/>
      <c r="L13" s="337"/>
    </row>
    <row r="14" spans="1:12" ht="19.5" customHeight="1">
      <c r="A14" s="314" t="s">
        <v>131</v>
      </c>
      <c r="B14" s="477">
        <f>'[1]lær-tímar'!N86</f>
        <v>35</v>
      </c>
      <c r="C14" s="477"/>
      <c r="D14" s="474">
        <f>'[1]faktímab'!GG17</f>
        <v>35</v>
      </c>
      <c r="F14" s="474">
        <f t="shared" si="0"/>
        <v>0</v>
      </c>
      <c r="J14" s="479"/>
      <c r="K14" s="326"/>
      <c r="L14" s="337"/>
    </row>
    <row r="15" spans="1:12" ht="19.5" customHeight="1">
      <c r="A15" s="314" t="s">
        <v>132</v>
      </c>
      <c r="B15" s="477">
        <f>'[1]lær-tímar'!O86</f>
        <v>0</v>
      </c>
      <c r="C15" s="477"/>
      <c r="D15" s="474">
        <f>'[1]faktímab'!GG18</f>
        <v>0</v>
      </c>
      <c r="F15" s="474">
        <f t="shared" si="0"/>
        <v>0</v>
      </c>
      <c r="J15" s="478"/>
      <c r="K15" s="326"/>
      <c r="L15" s="337"/>
    </row>
    <row r="16" spans="1:12" ht="19.5" customHeight="1">
      <c r="A16" s="314" t="s">
        <v>282</v>
      </c>
      <c r="B16" s="477">
        <f>'[1]lær-tímar'!P86</f>
        <v>4</v>
      </c>
      <c r="C16" s="477"/>
      <c r="D16" s="474">
        <f>'[1]faktímab'!GG19</f>
        <v>4</v>
      </c>
      <c r="F16" s="474">
        <f t="shared" si="0"/>
        <v>0</v>
      </c>
      <c r="J16" s="479"/>
      <c r="K16" s="326"/>
      <c r="L16" s="337"/>
    </row>
    <row r="17" spans="1:12" ht="19.5" customHeight="1">
      <c r="A17" s="314" t="s">
        <v>134</v>
      </c>
      <c r="B17" s="477">
        <f>'[1]lær-tímar'!Q86</f>
        <v>58</v>
      </c>
      <c r="C17" s="477"/>
      <c r="D17" s="474">
        <f>'[1]faktímab'!GG20</f>
        <v>58</v>
      </c>
      <c r="F17" s="474">
        <f t="shared" si="0"/>
        <v>0</v>
      </c>
      <c r="H17" s="15" t="s">
        <v>337</v>
      </c>
      <c r="J17" s="479"/>
      <c r="K17" s="326"/>
      <c r="L17" s="337"/>
    </row>
    <row r="18" spans="1:12" ht="19.5" customHeight="1">
      <c r="A18" s="314" t="s">
        <v>135</v>
      </c>
      <c r="B18" s="477">
        <f>'[1]lær-tímar'!R86</f>
        <v>9</v>
      </c>
      <c r="C18" s="477"/>
      <c r="D18" s="474">
        <f>'[1]faktímab'!GG22+'[1]faktímab'!GG23</f>
        <v>9</v>
      </c>
      <c r="F18" s="474">
        <f t="shared" si="0"/>
        <v>0</v>
      </c>
      <c r="H18" s="15" t="s">
        <v>338</v>
      </c>
      <c r="J18" s="478"/>
      <c r="K18" s="326"/>
      <c r="L18" s="337"/>
    </row>
    <row r="19" spans="1:12" ht="19.5" customHeight="1">
      <c r="A19" s="314" t="s">
        <v>136</v>
      </c>
      <c r="B19" s="477">
        <f>'[1]lær-tímar'!S86</f>
        <v>4.5</v>
      </c>
      <c r="C19" s="477"/>
      <c r="D19" s="474">
        <f>'[1]faktímab'!GG24</f>
        <v>4.5</v>
      </c>
      <c r="F19" s="474">
        <f t="shared" si="0"/>
        <v>0</v>
      </c>
      <c r="H19" s="15" t="s">
        <v>339</v>
      </c>
      <c r="J19" s="478"/>
      <c r="K19" s="326"/>
      <c r="L19" s="337"/>
    </row>
    <row r="20" spans="1:12" ht="19.5" customHeight="1">
      <c r="A20" s="314" t="s">
        <v>137</v>
      </c>
      <c r="B20" s="477">
        <f>'[1]lær-tímar'!T86</f>
        <v>66.06</v>
      </c>
      <c r="C20" s="477"/>
      <c r="D20" s="474">
        <f>'[1]faktímab'!GG25</f>
        <v>66.06</v>
      </c>
      <c r="F20" s="474">
        <f t="shared" si="0"/>
        <v>0</v>
      </c>
      <c r="H20" s="15" t="s">
        <v>281</v>
      </c>
      <c r="J20" s="478"/>
      <c r="K20" s="326"/>
      <c r="L20" s="337"/>
    </row>
    <row r="21" spans="1:12" ht="19.5" customHeight="1">
      <c r="A21" s="314" t="s">
        <v>243</v>
      </c>
      <c r="B21" s="477">
        <f>'[1]lær-tímar'!U86</f>
        <v>0</v>
      </c>
      <c r="C21" s="477"/>
      <c r="D21" s="474">
        <f>'[1]faktímab'!GG26</f>
        <v>0</v>
      </c>
      <c r="F21" s="474">
        <f t="shared" si="0"/>
        <v>0</v>
      </c>
      <c r="J21" s="478"/>
      <c r="K21" s="326"/>
      <c r="L21" s="337"/>
    </row>
    <row r="22" spans="1:12" ht="19.5" customHeight="1">
      <c r="A22" s="314" t="s">
        <v>138</v>
      </c>
      <c r="B22" s="477">
        <f>'[1]lær-tímar'!V86</f>
        <v>24</v>
      </c>
      <c r="C22" s="477"/>
      <c r="D22" s="474">
        <f>'[1]faktímab'!GG27</f>
        <v>24</v>
      </c>
      <c r="F22" s="474">
        <f t="shared" si="0"/>
        <v>0</v>
      </c>
      <c r="J22" s="478"/>
      <c r="K22" s="326"/>
      <c r="L22" s="337"/>
    </row>
    <row r="23" spans="1:12" ht="19.5" customHeight="1">
      <c r="A23" s="314" t="s">
        <v>139</v>
      </c>
      <c r="B23" s="477">
        <f>'[1]lær-tímar'!W86</f>
        <v>9</v>
      </c>
      <c r="C23" s="477"/>
      <c r="D23" s="474">
        <f>'[1]faktímab'!GG28</f>
        <v>9</v>
      </c>
      <c r="F23" s="474">
        <f t="shared" si="0"/>
        <v>0</v>
      </c>
      <c r="J23" s="478"/>
      <c r="K23" s="326"/>
      <c r="L23" s="337"/>
    </row>
    <row r="24" spans="1:12" ht="19.5" customHeight="1">
      <c r="A24" s="314" t="s">
        <v>140</v>
      </c>
      <c r="B24" s="477">
        <f>'[1]lær-tímar'!X86</f>
        <v>12</v>
      </c>
      <c r="C24" s="477"/>
      <c r="D24" s="474">
        <f>'[1]faktímab'!GG29</f>
        <v>12</v>
      </c>
      <c r="F24" s="474">
        <f t="shared" si="0"/>
        <v>0</v>
      </c>
      <c r="J24" s="478"/>
      <c r="K24" s="326"/>
      <c r="L24" s="337"/>
    </row>
    <row r="25" spans="1:12" ht="19.5" customHeight="1">
      <c r="A25" s="314" t="s">
        <v>233</v>
      </c>
      <c r="B25" s="477">
        <f>'[1]lær-tímar'!Y86</f>
        <v>37.486000000000004</v>
      </c>
      <c r="C25" s="477"/>
      <c r="D25" s="474">
        <f>'[1]faktímab'!GG30</f>
        <v>37.486000000000004</v>
      </c>
      <c r="F25" s="474">
        <f t="shared" si="0"/>
        <v>0</v>
      </c>
      <c r="H25" s="15" t="s">
        <v>300</v>
      </c>
      <c r="J25" s="479"/>
      <c r="K25" s="326"/>
      <c r="L25" s="337"/>
    </row>
    <row r="26" spans="1:12" ht="19.5" customHeight="1">
      <c r="A26" s="314" t="s">
        <v>142</v>
      </c>
      <c r="B26" s="477">
        <f>'[1]lær-tímar'!Z86</f>
        <v>67.56800000000001</v>
      </c>
      <c r="C26" s="477"/>
      <c r="D26" s="474">
        <f>'[1]faktímab'!GG31</f>
        <v>67.568</v>
      </c>
      <c r="F26" s="474">
        <f t="shared" si="0"/>
        <v>0</v>
      </c>
      <c r="J26" s="479"/>
      <c r="K26" s="326"/>
      <c r="L26" s="337"/>
    </row>
    <row r="27" spans="1:12" ht="19.5" customHeight="1">
      <c r="A27" s="314" t="s">
        <v>272</v>
      </c>
      <c r="B27" s="477">
        <f>'[1]lær-tímar'!AA86</f>
        <v>0</v>
      </c>
      <c r="C27" s="477"/>
      <c r="D27" s="474">
        <f>'[1]faktímab'!GG32</f>
        <v>0</v>
      </c>
      <c r="F27" s="474">
        <f t="shared" si="0"/>
        <v>0</v>
      </c>
      <c r="J27" s="478"/>
      <c r="K27" s="326"/>
      <c r="L27" s="337"/>
    </row>
    <row r="28" spans="1:12" ht="19.5" customHeight="1">
      <c r="A28" s="314" t="s">
        <v>143</v>
      </c>
      <c r="B28" s="477">
        <f>'[1]lær-tímar'!AB86</f>
        <v>131.283</v>
      </c>
      <c r="C28" s="477"/>
      <c r="D28" s="474">
        <f>'[1]faktímab'!GG33+'[1]faktímab'!GG34</f>
        <v>131.28300000000002</v>
      </c>
      <c r="F28" s="474">
        <f t="shared" si="0"/>
        <v>0</v>
      </c>
      <c r="H28" s="15" t="s">
        <v>330</v>
      </c>
      <c r="J28" s="479"/>
      <c r="K28" s="326"/>
      <c r="L28" s="337"/>
    </row>
    <row r="29" spans="1:12" ht="19.5" customHeight="1">
      <c r="A29" s="314" t="s">
        <v>144</v>
      </c>
      <c r="B29" s="477">
        <f>'[1]lær-tímar'!AC86</f>
        <v>87.506</v>
      </c>
      <c r="C29" s="477"/>
      <c r="D29" s="474">
        <f>'[1]faktímab'!GG35</f>
        <v>87.506</v>
      </c>
      <c r="F29" s="474">
        <f t="shared" si="0"/>
        <v>0</v>
      </c>
      <c r="H29" s="15" t="s">
        <v>301</v>
      </c>
      <c r="J29" s="478"/>
      <c r="K29" s="326"/>
      <c r="L29" s="337"/>
    </row>
    <row r="30" spans="1:12" ht="19.5" customHeight="1">
      <c r="A30" s="314" t="s">
        <v>145</v>
      </c>
      <c r="B30" s="477">
        <f>'[1]lær-tímar'!AD86</f>
        <v>4.5</v>
      </c>
      <c r="C30" s="477"/>
      <c r="D30" s="474">
        <f>'[1]faktímab'!GG36</f>
        <v>4.5</v>
      </c>
      <c r="F30" s="474">
        <f t="shared" si="0"/>
        <v>0</v>
      </c>
      <c r="J30" s="478"/>
      <c r="K30" s="326"/>
      <c r="L30" s="337"/>
    </row>
    <row r="31" spans="1:12" ht="19.5" customHeight="1">
      <c r="A31" s="314" t="s">
        <v>146</v>
      </c>
      <c r="B31" s="477">
        <f>'[1]lær-tímar'!AE86</f>
        <v>31.642</v>
      </c>
      <c r="C31" s="477"/>
      <c r="D31" s="474">
        <f>'[1]faktímab'!GG37</f>
        <v>31.642</v>
      </c>
      <c r="F31" s="474">
        <f t="shared" si="0"/>
        <v>0</v>
      </c>
      <c r="H31" s="15" t="s">
        <v>340</v>
      </c>
      <c r="J31" s="478"/>
      <c r="K31" s="326"/>
      <c r="L31" s="337"/>
    </row>
    <row r="32" spans="1:12" ht="19.5" customHeight="1">
      <c r="A32" s="314" t="s">
        <v>147</v>
      </c>
      <c r="B32" s="477">
        <f>'[1]lær-tímar'!AF86</f>
        <v>72.24100000000001</v>
      </c>
      <c r="C32" s="477"/>
      <c r="D32" s="474">
        <f>'[1]faktímab'!GG38+'[1]faktímab'!GG39</f>
        <v>72.24100000000001</v>
      </c>
      <c r="F32" s="474">
        <f t="shared" si="0"/>
        <v>0</v>
      </c>
      <c r="H32" s="15" t="s">
        <v>341</v>
      </c>
      <c r="J32" s="478" t="s">
        <v>342</v>
      </c>
      <c r="K32" s="326"/>
      <c r="L32" s="337"/>
    </row>
    <row r="33" spans="1:12" ht="19.5" customHeight="1">
      <c r="A33" s="314" t="s">
        <v>148</v>
      </c>
      <c r="B33" s="477">
        <f>'[1]lær-tímar'!AG86</f>
        <v>0</v>
      </c>
      <c r="C33" s="477"/>
      <c r="D33" s="474">
        <f>'[1]faktímab'!GG40</f>
        <v>0</v>
      </c>
      <c r="F33" s="474">
        <f t="shared" si="0"/>
        <v>0</v>
      </c>
      <c r="J33" s="478"/>
      <c r="K33" s="326"/>
      <c r="L33" s="337"/>
    </row>
    <row r="34" spans="1:12" ht="19.5" customHeight="1">
      <c r="A34" s="314" t="s">
        <v>149</v>
      </c>
      <c r="B34" s="477">
        <f>'[1]lær-tímar'!AH86</f>
        <v>4.5</v>
      </c>
      <c r="C34" s="477"/>
      <c r="D34" s="474">
        <f>'[1]faktímab'!GG41</f>
        <v>4.5</v>
      </c>
      <c r="F34" s="474">
        <f t="shared" si="0"/>
        <v>0</v>
      </c>
      <c r="J34" s="478"/>
      <c r="K34" s="326"/>
      <c r="L34" s="337"/>
    </row>
    <row r="35" spans="1:12" ht="19.5" customHeight="1">
      <c r="A35" s="314"/>
      <c r="B35" s="477"/>
      <c r="C35" s="477"/>
      <c r="J35" s="478"/>
      <c r="K35" s="326"/>
      <c r="L35" s="327"/>
    </row>
    <row r="36" spans="1:12" ht="15">
      <c r="A36" s="161"/>
      <c r="J36" s="478"/>
      <c r="K36" s="326"/>
      <c r="L36" s="327"/>
    </row>
    <row r="37" spans="1:12" s="317" customFormat="1" ht="15">
      <c r="A37" s="315"/>
      <c r="B37" s="316">
        <f>SUM(B3:B36)</f>
        <v>1247.1870000000001</v>
      </c>
      <c r="C37" s="316"/>
      <c r="D37" s="316">
        <f>SUM(D3:D36)</f>
        <v>1247.1870000000001</v>
      </c>
      <c r="F37" s="316">
        <f>SUM(F3:F36)</f>
        <v>0</v>
      </c>
      <c r="H37" s="318"/>
      <c r="J37" s="478"/>
      <c r="K37" s="328"/>
      <c r="L37" s="329"/>
    </row>
    <row r="38" spans="10:12" ht="15">
      <c r="J38" s="478"/>
      <c r="K38" s="326"/>
      <c r="L38" s="327"/>
    </row>
    <row r="42" spans="1:12" ht="12.75">
      <c r="A42"/>
      <c r="B42" s="475"/>
      <c r="C42" s="475"/>
      <c r="H42"/>
      <c r="J42" s="480"/>
      <c r="L42"/>
    </row>
    <row r="43" spans="1:12" ht="12.75">
      <c r="A43"/>
      <c r="B43" s="475"/>
      <c r="C43" s="475"/>
      <c r="H43"/>
      <c r="J43" s="480"/>
      <c r="L43"/>
    </row>
    <row r="44" spans="1:12" ht="12.75">
      <c r="A44"/>
      <c r="B44" s="475"/>
      <c r="C44" s="475"/>
      <c r="H44"/>
      <c r="J44" s="480"/>
      <c r="L44"/>
    </row>
    <row r="45" spans="1:12" ht="12.75">
      <c r="A45"/>
      <c r="B45" s="475"/>
      <c r="C45" s="475"/>
      <c r="H45"/>
      <c r="J45" s="480"/>
      <c r="L45"/>
    </row>
    <row r="46" spans="1:12" ht="12.75">
      <c r="A46"/>
      <c r="B46" s="475"/>
      <c r="C46" s="475"/>
      <c r="H46"/>
      <c r="J46" s="480"/>
      <c r="L46"/>
    </row>
    <row r="47" spans="1:12" ht="12.75">
      <c r="A47"/>
      <c r="B47" s="475"/>
      <c r="C47" s="475"/>
      <c r="H47"/>
      <c r="J47" s="480"/>
      <c r="L47"/>
    </row>
    <row r="48" spans="1:12" ht="12.75">
      <c r="A48"/>
      <c r="B48" s="475"/>
      <c r="C48" s="475"/>
      <c r="H48"/>
      <c r="J48" s="480"/>
      <c r="L48"/>
    </row>
    <row r="49" spans="1:12" ht="12.75">
      <c r="A49"/>
      <c r="B49" s="475"/>
      <c r="C49" s="475"/>
      <c r="H49"/>
      <c r="J49" s="480"/>
      <c r="L49"/>
    </row>
    <row r="50" spans="1:12" ht="12.75">
      <c r="A50"/>
      <c r="B50" s="475"/>
      <c r="C50" s="475"/>
      <c r="H50"/>
      <c r="J50" s="480"/>
      <c r="L50"/>
    </row>
    <row r="51" spans="1:12" ht="12.75">
      <c r="A51"/>
      <c r="B51" s="475"/>
      <c r="C51" s="475"/>
      <c r="H51"/>
      <c r="J51" s="480"/>
      <c r="L51"/>
    </row>
    <row r="52" spans="1:12" ht="12.75">
      <c r="A52"/>
      <c r="B52" s="475"/>
      <c r="C52" s="475"/>
      <c r="H52"/>
      <c r="J52" s="480"/>
      <c r="L52"/>
    </row>
    <row r="53" spans="1:12" ht="12.75">
      <c r="A53"/>
      <c r="B53" s="475"/>
      <c r="C53" s="475"/>
      <c r="H53"/>
      <c r="J53" s="480"/>
      <c r="L53"/>
    </row>
    <row r="54" spans="1:12" ht="12.75">
      <c r="A54"/>
      <c r="B54" s="475"/>
      <c r="C54" s="475"/>
      <c r="H54"/>
      <c r="J54" s="480"/>
      <c r="L54"/>
    </row>
    <row r="55" spans="1:12" ht="12.75">
      <c r="A55"/>
      <c r="B55" s="475"/>
      <c r="C55" s="475"/>
      <c r="H55"/>
      <c r="J55" s="480"/>
      <c r="L55"/>
    </row>
    <row r="56" spans="1:12" ht="12.75">
      <c r="A56"/>
      <c r="B56" s="475"/>
      <c r="C56" s="475"/>
      <c r="H56"/>
      <c r="J56" s="480"/>
      <c r="L56"/>
    </row>
    <row r="57" spans="1:12" ht="12.75">
      <c r="A57"/>
      <c r="B57" s="475"/>
      <c r="C57" s="475"/>
      <c r="H57"/>
      <c r="J57" s="480"/>
      <c r="L57"/>
    </row>
    <row r="58" spans="1:12" ht="12.75">
      <c r="A58"/>
      <c r="B58" s="475"/>
      <c r="C58" s="475"/>
      <c r="H58"/>
      <c r="J58" s="480"/>
      <c r="L58"/>
    </row>
    <row r="59" spans="1:12" ht="12.75">
      <c r="A59"/>
      <c r="B59" s="475"/>
      <c r="C59" s="475"/>
      <c r="H59"/>
      <c r="J59" s="480"/>
      <c r="L59"/>
    </row>
    <row r="60" spans="1:12" ht="12.75">
      <c r="A60"/>
      <c r="B60" s="475"/>
      <c r="C60" s="475"/>
      <c r="H60"/>
      <c r="J60" s="480"/>
      <c r="L60"/>
    </row>
    <row r="61" spans="1:12" ht="12.75">
      <c r="A61"/>
      <c r="B61" s="475"/>
      <c r="C61" s="475"/>
      <c r="H61"/>
      <c r="J61" s="480"/>
      <c r="L61"/>
    </row>
    <row r="62" spans="1:12" ht="12.75">
      <c r="A62"/>
      <c r="B62" s="475"/>
      <c r="C62" s="475"/>
      <c r="H62"/>
      <c r="J62" s="480"/>
      <c r="L62"/>
    </row>
    <row r="63" spans="1:12" ht="12.75">
      <c r="A63"/>
      <c r="B63" s="475"/>
      <c r="C63" s="475"/>
      <c r="H63"/>
      <c r="J63" s="480"/>
      <c r="L63"/>
    </row>
    <row r="64" spans="1:12" ht="12.75">
      <c r="A64"/>
      <c r="B64" s="475"/>
      <c r="C64" s="475"/>
      <c r="H64"/>
      <c r="J64" s="480"/>
      <c r="L64"/>
    </row>
    <row r="65" spans="1:12" ht="12.75">
      <c r="A65"/>
      <c r="B65" s="475"/>
      <c r="C65" s="475"/>
      <c r="H65"/>
      <c r="J65" s="480"/>
      <c r="L65"/>
    </row>
    <row r="66" spans="1:12" ht="12.75">
      <c r="A66"/>
      <c r="B66" s="475"/>
      <c r="C66" s="475"/>
      <c r="H66"/>
      <c r="J66" s="480"/>
      <c r="L66"/>
    </row>
    <row r="67" spans="1:12" ht="12.75">
      <c r="A67"/>
      <c r="B67" s="475"/>
      <c r="C67" s="475"/>
      <c r="H67"/>
      <c r="J67" s="480"/>
      <c r="L67"/>
    </row>
    <row r="68" spans="1:12" ht="12.75">
      <c r="A68"/>
      <c r="B68" s="475"/>
      <c r="C68" s="475"/>
      <c r="H68"/>
      <c r="J68" s="480"/>
      <c r="L68"/>
    </row>
    <row r="69" spans="1:12" ht="12.75">
      <c r="A69"/>
      <c r="B69" s="475"/>
      <c r="C69" s="475"/>
      <c r="H69"/>
      <c r="J69" s="480"/>
      <c r="L69"/>
    </row>
    <row r="70" spans="1:12" ht="12.75">
      <c r="A70"/>
      <c r="B70" s="475"/>
      <c r="C70" s="475"/>
      <c r="H70"/>
      <c r="J70" s="480"/>
      <c r="L70"/>
    </row>
    <row r="71" spans="1:12" ht="12.75">
      <c r="A71"/>
      <c r="B71" s="475"/>
      <c r="C71" s="475"/>
      <c r="H71"/>
      <c r="J71" s="480"/>
      <c r="L71"/>
    </row>
    <row r="72" spans="1:12" ht="12.75">
      <c r="A72"/>
      <c r="B72" s="475"/>
      <c r="C72" s="475"/>
      <c r="H72"/>
      <c r="J72" s="480"/>
      <c r="L72"/>
    </row>
    <row r="73" spans="1:12" ht="12.75">
      <c r="A73"/>
      <c r="B73" s="475"/>
      <c r="C73" s="475"/>
      <c r="H73"/>
      <c r="J73" s="480"/>
      <c r="L73"/>
    </row>
    <row r="74" spans="1:12" ht="12.75">
      <c r="A74"/>
      <c r="B74" s="475"/>
      <c r="C74" s="475"/>
      <c r="H74"/>
      <c r="J74" s="480"/>
      <c r="L74"/>
    </row>
    <row r="75" spans="1:12" ht="12.75">
      <c r="A75"/>
      <c r="B75" s="475"/>
      <c r="C75" s="475"/>
      <c r="H75"/>
      <c r="J75" s="480"/>
      <c r="L75"/>
    </row>
    <row r="76" spans="1:12" ht="12.75">
      <c r="A76"/>
      <c r="B76" s="475"/>
      <c r="C76" s="475"/>
      <c r="H76"/>
      <c r="J76" s="480"/>
      <c r="L76"/>
    </row>
    <row r="77" spans="1:12" ht="12.75">
      <c r="A77"/>
      <c r="B77" s="475"/>
      <c r="C77" s="475"/>
      <c r="H77"/>
      <c r="J77" s="480"/>
      <c r="L77"/>
    </row>
    <row r="78" spans="1:12" ht="12.75">
      <c r="A78"/>
      <c r="B78" s="475"/>
      <c r="C78" s="475"/>
      <c r="H78"/>
      <c r="J78" s="480"/>
      <c r="L78"/>
    </row>
    <row r="79" spans="1:12" ht="12.75">
      <c r="A79"/>
      <c r="B79" s="475"/>
      <c r="C79" s="475"/>
      <c r="H79"/>
      <c r="J79" s="480"/>
      <c r="L79"/>
    </row>
    <row r="80" spans="1:12" ht="12.75">
      <c r="A80"/>
      <c r="B80" s="475"/>
      <c r="C80" s="475"/>
      <c r="H80"/>
      <c r="J80" s="480"/>
      <c r="L80"/>
    </row>
    <row r="81" spans="1:12" ht="12.75">
      <c r="A81"/>
      <c r="B81" s="475"/>
      <c r="C81" s="475"/>
      <c r="H81"/>
      <c r="J81" s="480"/>
      <c r="L81"/>
    </row>
    <row r="82" spans="1:12" ht="12.75">
      <c r="A82"/>
      <c r="B82" s="475"/>
      <c r="C82" s="475"/>
      <c r="H82"/>
      <c r="J82" s="480"/>
      <c r="L82"/>
    </row>
    <row r="83" spans="1:12" ht="12.75">
      <c r="A83"/>
      <c r="B83" s="475"/>
      <c r="C83" s="475"/>
      <c r="H83"/>
      <c r="J83" s="480"/>
      <c r="L83"/>
    </row>
    <row r="84" spans="1:12" ht="12.75">
      <c r="A84"/>
      <c r="B84" s="475"/>
      <c r="C84" s="475"/>
      <c r="H84"/>
      <c r="J84" s="480"/>
      <c r="L84"/>
    </row>
    <row r="85" spans="1:12" ht="12.75">
      <c r="A85"/>
      <c r="B85" s="475"/>
      <c r="C85" s="475"/>
      <c r="H85"/>
      <c r="J85" s="480"/>
      <c r="L85"/>
    </row>
    <row r="86" spans="1:12" ht="12.75">
      <c r="A86"/>
      <c r="B86" s="475"/>
      <c r="C86" s="475"/>
      <c r="H86"/>
      <c r="J86" s="480"/>
      <c r="L86"/>
    </row>
    <row r="87" spans="1:12" ht="12.75">
      <c r="A87"/>
      <c r="B87" s="475"/>
      <c r="C87" s="475"/>
      <c r="H87"/>
      <c r="J87" s="480"/>
      <c r="L87"/>
    </row>
    <row r="88" spans="1:12" ht="12.75">
      <c r="A88"/>
      <c r="B88" s="475"/>
      <c r="C88" s="475"/>
      <c r="H88"/>
      <c r="J88" s="480"/>
      <c r="L88"/>
    </row>
    <row r="89" spans="1:12" ht="12.75">
      <c r="A89"/>
      <c r="B89" s="475"/>
      <c r="C89" s="475"/>
      <c r="H89"/>
      <c r="J89" s="480"/>
      <c r="L89"/>
    </row>
    <row r="90" spans="1:12" ht="12.75">
      <c r="A90"/>
      <c r="B90" s="475"/>
      <c r="C90" s="475"/>
      <c r="H90"/>
      <c r="J90" s="480"/>
      <c r="L90"/>
    </row>
    <row r="91" spans="1:12" ht="12.75">
      <c r="A91"/>
      <c r="B91" s="475"/>
      <c r="C91" s="475"/>
      <c r="H91"/>
      <c r="J91" s="480"/>
      <c r="L91"/>
    </row>
    <row r="92" spans="1:12" ht="12.75">
      <c r="A92"/>
      <c r="B92" s="475"/>
      <c r="C92" s="475"/>
      <c r="H92"/>
      <c r="J92" s="480"/>
      <c r="L92"/>
    </row>
    <row r="93" spans="1:12" ht="12.75">
      <c r="A93"/>
      <c r="B93" s="475"/>
      <c r="C93" s="475"/>
      <c r="H93"/>
      <c r="J93" s="480"/>
      <c r="L93"/>
    </row>
    <row r="94" spans="1:12" ht="12.75">
      <c r="A94"/>
      <c r="B94" s="475"/>
      <c r="C94" s="475"/>
      <c r="H94"/>
      <c r="J94" s="480"/>
      <c r="L94"/>
    </row>
    <row r="95" spans="1:12" ht="12.75">
      <c r="A95"/>
      <c r="B95" s="475"/>
      <c r="C95" s="475"/>
      <c r="H95"/>
      <c r="J95" s="480"/>
      <c r="L95"/>
    </row>
    <row r="96" spans="1:12" ht="12.75">
      <c r="A96"/>
      <c r="B96" s="475"/>
      <c r="C96" s="475"/>
      <c r="H96"/>
      <c r="J96" s="480"/>
      <c r="L96"/>
    </row>
    <row r="97" spans="1:12" ht="12.75">
      <c r="A97"/>
      <c r="B97" s="475"/>
      <c r="C97" s="475"/>
      <c r="H97"/>
      <c r="J97" s="480"/>
      <c r="L97"/>
    </row>
    <row r="98" spans="1:12" ht="12.75">
      <c r="A98"/>
      <c r="B98" s="475"/>
      <c r="C98" s="475"/>
      <c r="H98"/>
      <c r="J98" s="480"/>
      <c r="L98"/>
    </row>
  </sheetData>
  <printOptions gridLines="1" horizontalCentered="1" verticalCentered="1"/>
  <pageMargins left="0.47" right="0.33" top="0.6692913385826772" bottom="0.5905511811023623" header="0.35433070866141736" footer="0.2362204724409449"/>
  <pageSetup horizontalDpi="600" verticalDpi="600" orientation="portrait" paperSize="9" r:id="rId1"/>
  <headerFooter alignWithMargins="0">
    <oddHeader>&amp;C&amp;"Arial,Fed"&amp;12tímarestir 2004-2005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Thurid Debess</cp:lastModifiedBy>
  <cp:lastPrinted>2005-11-14T07:53:39Z</cp:lastPrinted>
  <dcterms:created xsi:type="dcterms:W3CDTF">1998-04-21T07:46:41Z</dcterms:created>
  <dcterms:modified xsi:type="dcterms:W3CDTF">2006-09-28T13:32:02Z</dcterms:modified>
  <cp:category/>
  <cp:version/>
  <cp:contentType/>
  <cp:contentStatus/>
</cp:coreProperties>
</file>